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3.xml" ContentType="application/vnd.openxmlformats-officedocument.drawing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11016" firstSheet="1" activeTab="8"/>
  </bookViews>
  <sheets>
    <sheet name="งบแสดงฐานะการเงิน" sheetId="1" r:id="rId1"/>
    <sheet name="หมายเหตุประกอบงบ" sheetId="2" r:id="rId2"/>
    <sheet name="งบทรัพย์สิน" sheetId="3" r:id="rId3"/>
    <sheet name="หมายเหตุ 3" sheetId="4" r:id="rId4"/>
    <sheet name="หมายเหตุ 6" sheetId="5" r:id="rId5"/>
    <sheet name="หมายเหตุ 4" sheetId="6" r:id="rId6"/>
    <sheet name="หมายเหตุ 5" sheetId="7" r:id="rId7"/>
    <sheet name="หมายเหตุ 7" sheetId="8" r:id="rId8"/>
    <sheet name="หมายเหตุ (8)" sheetId="9" r:id="rId9"/>
    <sheet name="หมายเหตุ 9" sheetId="10" r:id="rId10"/>
    <sheet name="หมายเหตุ (10)" sheetId="11" r:id="rId11"/>
    <sheet name="รายละเอียดแนบท้ายหมายเหตุ 10" sheetId="12" r:id="rId12"/>
    <sheet name="รายละเอียดแนบท้ายหมายเหตุ 1 (60" sheetId="13" r:id="rId13"/>
    <sheet name="รายละเอียดปรับปรุงสะสม" sheetId="14" r:id="rId14"/>
    <sheet name="ตามแผนงาน 1" sheetId="15" r:id="rId15"/>
    <sheet name="ตามแผนงาน 2" sheetId="16" r:id="rId16"/>
    <sheet name="ตามแผนงาน 3" sheetId="17" r:id="rId17"/>
    <sheet name="ตามแผนงาน 4" sheetId="18" r:id="rId18"/>
    <sheet name="ตามแผนงาน 5" sheetId="19" r:id="rId19"/>
    <sheet name="ตามแผนงาน 6" sheetId="20" r:id="rId20"/>
    <sheet name="ตามแผนงาน 7" sheetId="21" r:id="rId21"/>
    <sheet name="ตามแผนงาน 8" sheetId="22" r:id="rId22"/>
    <sheet name="ตามแผนงาน 9" sheetId="23" r:id="rId23"/>
    <sheet name="ตามแผนงาน 10" sheetId="24" r:id="rId24"/>
    <sheet name="ตามแผนงาน 11" sheetId="25" r:id="rId25"/>
    <sheet name="งบแสดงผลจ่ายจากเงินรายรับ(สตง2)" sheetId="26" r:id="rId26"/>
    <sheet name="งบแสดงผลฯเงินรายรับ เงินสะสม" sheetId="27" r:id="rId27"/>
    <sheet name="งบแสดงผลฯเงินรายรับ สะสม ทุน" sheetId="28" r:id="rId28"/>
    <sheet name="รายจ่าย สะสม " sheetId="29" r:id="rId29"/>
    <sheet name="เปรียบเทียบ ง.ดุล" sheetId="30" r:id="rId30"/>
    <sheet name="เปรัยบเทียบ ง.รับจ่าย" sheetId="31" r:id="rId31"/>
    <sheet name="เปรียบเทียบ ง.ทรัพย์สิน" sheetId="32" r:id="rId32"/>
    <sheet name="คำอธิบาย" sheetId="33" r:id="rId33"/>
  </sheets>
  <definedNames>
    <definedName name="_xlnm.Print_Area" localSheetId="2">'งบทรัพย์สิน'!$A$1:$I$63</definedName>
    <definedName name="_xlnm.Print_Area" localSheetId="0">'งบแสดงฐานะการเงิน'!$A$1:$O$206</definedName>
    <definedName name="_xlnm.Print_Area" localSheetId="25">'งบแสดงผลจ่ายจากเงินรายรับ(สตง2)'!$A$1:$V$279</definedName>
    <definedName name="_xlnm.Print_Area" localSheetId="8">'หมายเหตุ (8)'!$A$1:$J$145</definedName>
    <definedName name="_xlnm.Print_Area" localSheetId="1">'หมายเหตุประกอบงบ'!$A$1:$F$188</definedName>
  </definedNames>
  <calcPr fullCalcOnLoad="1"/>
</workbook>
</file>

<file path=xl/sharedStrings.xml><?xml version="1.0" encoding="utf-8"?>
<sst xmlns="http://schemas.openxmlformats.org/spreadsheetml/2006/main" count="2317" uniqueCount="690">
  <si>
    <t>งบแสดงฐานะการเงิน</t>
  </si>
  <si>
    <t>สินทรัพย์</t>
  </si>
  <si>
    <t>ทรัพย์สินตามงบทรัพย์สิน</t>
  </si>
  <si>
    <t>เงินสดและเงินฝากธนาคาร</t>
  </si>
  <si>
    <t>เงินฝาก - เงินทุนส่งเสริมกิจการเทศบาล (ก.ส.ท.)</t>
  </si>
  <si>
    <t>เงินกองทุนสะสมองค์การบริหารส่วนจังหวัด (ก.ส.อ.)</t>
  </si>
  <si>
    <t>ลูกหนี้ค่าภาษี</t>
  </si>
  <si>
    <t>ลูกหนี้ - ภาษีโรงเรือน</t>
  </si>
  <si>
    <t>ลูกหนี้เงินยืม</t>
  </si>
  <si>
    <t>ลูกหนี้เงินยืมเงินสะสม</t>
  </si>
  <si>
    <t>ลูกหนี้เงินทุนโครงการเศรษฐกิจชุมชน</t>
  </si>
  <si>
    <t>ลูกหนี้อื่น ๆ</t>
  </si>
  <si>
    <t>หุ้นในโรงพิมพ์อาสารักษาดินแดน</t>
  </si>
  <si>
    <t xml:space="preserve">ทรัพย์สินที่เกิดจากการกู้ </t>
  </si>
  <si>
    <t>รวมสินทรัพย์</t>
  </si>
  <si>
    <t>หนี้สิน</t>
  </si>
  <si>
    <t>ทุนทรัพย์สิน</t>
  </si>
  <si>
    <t>เงินรับฝาก</t>
  </si>
  <si>
    <t>รายจ่ายค้างจ่าย</t>
  </si>
  <si>
    <t>ฏีกาค้างจ่าย</t>
  </si>
  <si>
    <t>รายจ่ายผัดส่งใบสำคัญ</t>
  </si>
  <si>
    <t>เจ้าหนี้เงินกู้</t>
  </si>
  <si>
    <t>หนี้สินหมุนเวียนอื่น</t>
  </si>
  <si>
    <t>หนี้สินไม่หมุนเวียนอื่น</t>
  </si>
  <si>
    <t>รวมหนี้สิน</t>
  </si>
  <si>
    <t xml:space="preserve">เงินสะสม  </t>
  </si>
  <si>
    <t>เงินทุนสำรองเงินสะสม</t>
  </si>
  <si>
    <t>รวมเงินสะสม</t>
  </si>
  <si>
    <t>รวมหนี้สินและเงินสะสม</t>
  </si>
  <si>
    <t>ณ วันที่ 30 กันยายน 2558</t>
  </si>
  <si>
    <t>หนี้สินและเงินสะสม</t>
  </si>
  <si>
    <t xml:space="preserve">อื่น ๆ </t>
  </si>
  <si>
    <t>ครุภัณฑ์สำนักงาน</t>
  </si>
  <si>
    <t>ครุภัณฑ์การศึกษา</t>
  </si>
  <si>
    <t>ครุภัณฑ์ยานพาหนะและขนส่ง</t>
  </si>
  <si>
    <t>ครุภัณฑ์การเกษตร</t>
  </si>
  <si>
    <t>ครุภัณฑ์ก่อสร้าง</t>
  </si>
  <si>
    <t>ครุภัณฑ์ไฟฟ้าและวิทยุ</t>
  </si>
  <si>
    <t>ครุภัณฑ์โฆษณาและเผยแพร่</t>
  </si>
  <si>
    <t>ครุภัณฑ์วิทยาศาสตร์และการแพทย์</t>
  </si>
  <si>
    <t>ครุภัณฑ์งานบ้านงานครัว</t>
  </si>
  <si>
    <t>ครุภัณฑ์โรงงาน</t>
  </si>
  <si>
    <t>ครุภัณฑ์ดับเพลิง</t>
  </si>
  <si>
    <t>ครุภัณฑ์กีฬา</t>
  </si>
  <si>
    <t>ครุภัณฑ์สำรวจ</t>
  </si>
  <si>
    <t>ครุภัณฑ์อาวุธ</t>
  </si>
  <si>
    <t>ครุภัณฑ์ดนตรีและนาฏศิลป์</t>
  </si>
  <si>
    <t>ครุภัณฑ์คอมพิวเตอร์</t>
  </si>
  <si>
    <t>ครุภัณฑ์การโยธา</t>
  </si>
  <si>
    <t>รวมครุภัณฑ์</t>
  </si>
  <si>
    <t>รวมที่ดิน อาคารสิ่งปลูกสร้างและครุภัณฑ์</t>
  </si>
  <si>
    <t>งบทรัพย์สิน</t>
  </si>
  <si>
    <t>รายได้</t>
  </si>
  <si>
    <t>เงินกู้</t>
  </si>
  <si>
    <t>เงินอุทิศ</t>
  </si>
  <si>
    <t>เงินรับโอน</t>
  </si>
  <si>
    <t>เงินอุดหนุน</t>
  </si>
  <si>
    <t xml:space="preserve">           เงินสะสม</t>
  </si>
  <si>
    <t xml:space="preserve">           เงินทุนสำรองเงินสะสม</t>
  </si>
  <si>
    <t>ประมาณการ</t>
  </si>
  <si>
    <t>หน่วย : บาท</t>
  </si>
  <si>
    <t>จำนวนเงิน</t>
  </si>
  <si>
    <t>รายการ</t>
  </si>
  <si>
    <t>รายรับ</t>
  </si>
  <si>
    <t>รายจ่าย</t>
  </si>
  <si>
    <t>ก.  อสังหาริมทรัพย์</t>
  </si>
  <si>
    <t>ประเภททรัพย์สิน</t>
  </si>
  <si>
    <t>ข.  สังหาริมทรัพย์</t>
  </si>
  <si>
    <t>ราคาทรัพย์สิน</t>
  </si>
  <si>
    <t>รวมรายรับ</t>
  </si>
  <si>
    <t>แหล่งที่มาของทรัพย์สิน</t>
  </si>
  <si>
    <t>อปท.(ระเบียบ ปี 43)</t>
  </si>
  <si>
    <t>ณ วันที่ 30 กันยายน พ.ศ. .......</t>
  </si>
  <si>
    <t>ทรัพย์สิน</t>
  </si>
  <si>
    <t>ทรัพย์สินตามงบทรัพย์สิน  (หมายเหตุ 1)</t>
  </si>
  <si>
    <t>เงินสด เงินฝากธนาคารและเงินฝากคลังจังหวัด (หมายเหตุ 2)</t>
  </si>
  <si>
    <t>หรือ เงินกองทุนสะสมองค์การบริหารส่วนจังหวัด (ก.ส.อ.)</t>
  </si>
  <si>
    <t>เงินอุดหนุนเฉพาะกิจฝากจังหวัด</t>
  </si>
  <si>
    <t xml:space="preserve">        - ภาษีบำรุงท้องที่</t>
  </si>
  <si>
    <t xml:space="preserve">        - ภาษีป้าย</t>
  </si>
  <si>
    <t>รายได้ค้างรับ</t>
  </si>
  <si>
    <t>หุ้นในโรงพิมพ์ส่วนท้องถิ่น</t>
  </si>
  <si>
    <t>รวมทรัพย์สิน</t>
  </si>
  <si>
    <t>รายจ่ายผัดส่งใบสำคัญ    (หมายเหตุ  6)</t>
  </si>
  <si>
    <t>ทรัพย์สินตามงบทรัพย์สิน  (หมายเหตุ  1)</t>
  </si>
  <si>
    <t>เจ้าหนี้    (หมายเหตุ  3)</t>
  </si>
  <si>
    <t>เงินรับฝากต่าง ๆ   (หมายเหตุ  4)</t>
  </si>
  <si>
    <t>รายจ่ายค้างจ่าย    (หมายเหตุ  5)</t>
  </si>
  <si>
    <t>เงินอุดหนุนเฉพาะกิจค้างจ่าย    (หมายเหตุ  7)</t>
  </si>
  <si>
    <t>เงินสะสม   (หมายเหตุ  8)</t>
  </si>
  <si>
    <t>อปท.(ระเบียบ ปี 47)</t>
  </si>
  <si>
    <t xml:space="preserve">     เงินสดในมือ</t>
  </si>
  <si>
    <t xml:space="preserve">     เงินสด</t>
  </si>
  <si>
    <t xml:space="preserve">     ธนาคาร ...............ประจำ</t>
  </si>
  <si>
    <t xml:space="preserve">     ธนาคาร ...............ออมทรัพย์</t>
  </si>
  <si>
    <t xml:space="preserve">     เงินฝากคลังจังหวัด</t>
  </si>
  <si>
    <t>เงินอุดหนุนทั่วไปฝากจังหวัด</t>
  </si>
  <si>
    <t xml:space="preserve">เงินรับฝากต่าง ๆ  </t>
  </si>
  <si>
    <t>เงินเบิกตัดปี   (รายจ่ายค้างจ่าย)</t>
  </si>
  <si>
    <t xml:space="preserve">เงินอุดหนุนทั่วไปค้างจ่าย    </t>
  </si>
  <si>
    <t xml:space="preserve">รายจ่ายผัดส่งใบสำคัญ    </t>
  </si>
  <si>
    <t>เงินสะสม   30 ก.ย. ..............</t>
  </si>
  <si>
    <t xml:space="preserve">    เงินสะสม   1 ต.ค. ..............</t>
  </si>
  <si>
    <t xml:space="preserve">    บวก  รับจริงสูงกว่าจ่ายจริง</t>
  </si>
  <si>
    <t xml:space="preserve">    บวก  รายได้ค้างรับ</t>
  </si>
  <si>
    <t xml:space="preserve">    หัก    จ่ายขาดเงินสะสม</t>
  </si>
  <si>
    <t>รวม หนี้สิน เงินสะสมและทุนทรัพย์สิน</t>
  </si>
  <si>
    <t>ทรัพย์สินตามงบทรัพย์สิน   (หมาเหตุ  2)</t>
  </si>
  <si>
    <t>เงินสดและเงินฝากธนาคาร    (หมายเหตุ  3)</t>
  </si>
  <si>
    <t>รายได้จากรัฐบาลค้างรับ    (หมายเหตุ  4)</t>
  </si>
  <si>
    <t>ลูกหนี้ค่าภาษี     (หมายเหตุ  5)</t>
  </si>
  <si>
    <t>ลูกหนี้รายได้อื่น ๆ    (หมายเหตุ  6)</t>
  </si>
  <si>
    <t>ลูกหนี้อื่น ๆ     (หมายเหตุ  7)</t>
  </si>
  <si>
    <t>ทรัพย์สินที่เกิดจากการกู้    (หมายเหตุ  2)</t>
  </si>
  <si>
    <t>สินทรัพย์ไม่หมุนเวียนอื่น   (หมายเหตุ  9) )</t>
  </si>
  <si>
    <t>สินทรัพย์หมุนเวียนอื่น    (หมายเหตุ  8) )</t>
  </si>
  <si>
    <t>ทุนทรัพย์สิน    (หมายเหตุ  2)</t>
  </si>
  <si>
    <t>เจ้าหนี้เงินกู้    (หมายเหตุ  14)</t>
  </si>
  <si>
    <t>เงินรับฝาก     (หมายเหตุ  12)</t>
  </si>
  <si>
    <t>รายจ่ายค้างจ่าย     (หมายเหตุ  10)</t>
  </si>
  <si>
    <t>ฏีกาค้างจ่าย    (หมายเหตุ  11)</t>
  </si>
  <si>
    <t>เงินสะสม    (หมายเหตุ  16)</t>
  </si>
  <si>
    <t>เงินทุนสำรองเงินสะสม    (หมายเหตุ  17)</t>
  </si>
  <si>
    <t>หนี้สินหมุนเวียนอื่น    (หมายเหตุ  13)</t>
  </si>
  <si>
    <t>สำรองรายรับ</t>
  </si>
  <si>
    <t>เงินฝาก  ก.ส.อ.</t>
  </si>
  <si>
    <t>เงินฝาก  ก.ส.ท.</t>
  </si>
  <si>
    <t xml:space="preserve">          รวมสินทรัพย์หมุนเวียน</t>
  </si>
  <si>
    <t xml:space="preserve">          รวมสินทรัพย์ไม่หมุนเวียน</t>
  </si>
  <si>
    <t xml:space="preserve">          รวมหนี้สินหมุนเวียน</t>
  </si>
  <si>
    <t>หนี้สินไม่หมุนเวียนอื่น   (หมายเหตุ  15)</t>
  </si>
  <si>
    <t xml:space="preserve">          รวมหนี้สินไม่หมุนเวียน</t>
  </si>
  <si>
    <t xml:space="preserve">          รวมเงินสะสม</t>
  </si>
  <si>
    <t>อปท.(ระเบียบ ปี 58)</t>
  </si>
  <si>
    <t>อปท. (ระเบียบ ปี 43)</t>
  </si>
  <si>
    <t>งบแสดงผลการดำเนินงานจ่ายจากเงินรายรับ</t>
  </si>
  <si>
    <t>ภาษีอากร</t>
  </si>
  <si>
    <t>ค่าธรรมเนียมค่าปรับและใบอนุญาต</t>
  </si>
  <si>
    <t>รายได้จากสาธารณูปโภค</t>
  </si>
  <si>
    <t>รายได้เบ็ดเตล็ด</t>
  </si>
  <si>
    <t>รายได้จากทุน</t>
  </si>
  <si>
    <t>รัฐบาลจัดสรรให้</t>
  </si>
  <si>
    <t>อุดหนุนทั่วไป</t>
  </si>
  <si>
    <t>เงินอุดหนุนเฉพาะกิจ</t>
  </si>
  <si>
    <t xml:space="preserve">     รวมรายรับ</t>
  </si>
  <si>
    <t>ตั้งแต่วันที่ 1 ตุลาคม 25..  ถึง วันที่ 30 กันยายน 25..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</si>
  <si>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</si>
  <si>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</si>
  <si>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</si>
  <si>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</si>
  <si>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</si>
  <si>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</si>
  <si>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สาธารณูปโภค</t>
  </si>
  <si>
    <t>รายจ่ายอื่น</t>
  </si>
  <si>
    <t>งบกลาง</t>
  </si>
  <si>
    <t>ค่าครุภัณฑ์   (หมายเหตุ 1)</t>
  </si>
  <si>
    <t>ค่าที่ดินและสิ่งก่อสร้าง   (หมายเหตุ 2)</t>
  </si>
  <si>
    <t xml:space="preserve">     รวมรายจ่าย</t>
  </si>
  <si>
    <t>รายรับสูงกว่าหรือ (ต่ำกว่า) รายจ่าย</t>
  </si>
  <si>
    <t>ณ วันที่ 30 กันยายน 25..</t>
  </si>
  <si>
    <t>งบรายรับ - รายจ่ายตามงบประมาณ ประจำปี พ.ศ.25..</t>
  </si>
  <si>
    <t>เงินอุดหนุนจากรัฐบาล</t>
  </si>
  <si>
    <t xml:space="preserve">ค่าครุภัณฑ์ </t>
  </si>
  <si>
    <t>ค่าที่ดินและสิ่งก่อสร้าง</t>
  </si>
  <si>
    <t>จ่ายเงินอุดหนุนจากรัฐบาล</t>
  </si>
  <si>
    <t>รายได้จากทรัพย์สิน</t>
  </si>
  <si>
    <t>อปท. (ระเบียบ ปี 47)</t>
  </si>
  <si>
    <t>อปท. (ระเบียบ ปี 58)</t>
  </si>
  <si>
    <t>หมวดภาษีจัดสรร</t>
  </si>
  <si>
    <t>หมวดเงินอุดหนุนทั่วไป</t>
  </si>
  <si>
    <t>หมวดเงินอุดหนุนระบุวัตถุประสงค์ / เฉพาะกิจ</t>
  </si>
  <si>
    <t>เงินเดือน  (ฝ่ายการเมือง)</t>
  </si>
  <si>
    <t>เงินเดือน  (ฝ่ายประจำ)</t>
  </si>
  <si>
    <t>ณ วันที่ 30 กันยายน พ.ศ. 25..</t>
  </si>
  <si>
    <t>ก.อสังหาริมทรัพย์</t>
  </si>
  <si>
    <t xml:space="preserve">     เป็นกรรมขององค์กรปกครองส่วนท้องถิ่น</t>
  </si>
  <si>
    <t>ใช้ประโยชน์โดยตรง  เช่น ที่ดิน  อาคาร เป็นต้น</t>
  </si>
  <si>
    <t>ให้บันทึกราคาทรัพย์สินที่ได้มา หรือมีผู้บริจาคให้</t>
  </si>
  <si>
    <t>รวมที่ดิน อาคารแลสิ่งปลูกสร้าง</t>
  </si>
  <si>
    <t>งบทรัพย์สิน (ต่อ)</t>
  </si>
  <si>
    <t>เงินสะสม</t>
  </si>
  <si>
    <t>หมายเหตุ</t>
  </si>
  <si>
    <t>สินทรัพย์หมุนเวียน</t>
  </si>
  <si>
    <t xml:space="preserve">ลูกหนี้รายได้อื่น ๆ </t>
  </si>
  <si>
    <t xml:space="preserve">สินทรัพย์หมุนเวียนอื่น </t>
  </si>
  <si>
    <t>รวมสินทรัพย์หมุนเวียน</t>
  </si>
  <si>
    <t>ไม่สินทรัพย์หมุนเวียน</t>
  </si>
  <si>
    <t>ไม่สินทรัพย์หมุนเวียนอื่น</t>
  </si>
  <si>
    <t>รวมไม่สินทรัพย์หมุนเวียน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</si>
  <si>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</si>
  <si>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</si>
  <si>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</si>
  <si>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</si>
  <si>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ชื่อ</t>
  </si>
  <si>
    <t>หมายเหตุประกอบงบแสดงฐานะการเงิน</t>
  </si>
  <si>
    <t>หมายเหตุ 3  เงินสดและเงินฝากธนาคาร</t>
  </si>
  <si>
    <t>รวม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</si>
  <si>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</si>
  <si>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</si>
  <si>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</si>
  <si>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</si>
  <si>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</si>
  <si>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</si>
  <si>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เงินประกันสัญญา</t>
  </si>
  <si>
    <t>รายรับจริงสูงกว่ารายจ่ายจริง</t>
  </si>
  <si>
    <t>บวก</t>
  </si>
  <si>
    <t>รายรับจริงสูงกว่ารายจ่ายจริงหลังหักเงินทุนสำรองเงินสะสม</t>
  </si>
  <si>
    <t>หัก</t>
  </si>
  <si>
    <t>จ่ายขาดเงินสะสม</t>
  </si>
  <si>
    <t>จำนวนเงินที่ได้รับอนุมัติ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</si>
  <si>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</si>
  <si>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</si>
  <si>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</si>
  <si>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</si>
  <si>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งบ</t>
  </si>
  <si>
    <t>หมายเหตุ   ระบุเงินงบประมาณหรือเงินอุดหนุนระบุวัตถุประสงค์ / เฉพาะกิจ</t>
  </si>
  <si>
    <t>งบบุคลากร</t>
  </si>
  <si>
    <t>เงินเดือน(ฝ่ายการเมือง)</t>
  </si>
  <si>
    <t>เงินเดือน(ฝ่ายประจำ)</t>
  </si>
  <si>
    <t>งบดำเนินการ</t>
  </si>
  <si>
    <t>ค่าสาธารณูปโภค</t>
  </si>
  <si>
    <t>ค่าครุภัณฑ์</t>
  </si>
  <si>
    <t>งบลงทุน</t>
  </si>
  <si>
    <t>งบเงินอุดหนุน</t>
  </si>
  <si>
    <t>งานบริหารงานทั่วไป</t>
  </si>
  <si>
    <t>งานบริหารงานคลัง</t>
  </si>
  <si>
    <t>งานป้องกันฝ่ายพลเรือนและระงับอัคคีภัย</t>
  </si>
  <si>
    <t>งานบริหารงานทั่วไปเกี่ยวกับการศึกษา</t>
  </si>
  <si>
    <t>งานระดับก่อน
วัยเรียนและ
ประถมศึกษา</t>
  </si>
  <si>
    <t>งานบริการ
สาธารณสุขและ
งานสาธารณสุขอื่น</t>
  </si>
  <si>
    <t>งานบริหารทั่วไป
เกี่ยวกับสังคมสงเคราะห์</t>
  </si>
  <si>
    <t>งานบริหาร
ทั่วไปเกี่ยวกับ
เคหะชุมชม</t>
  </si>
  <si>
    <t>งานไฟฟ้าถนน</t>
  </si>
  <si>
    <t>งานส่งเสริมและ
สนับสนุนความ
เข้มแข็งชุมชน</t>
  </si>
  <si>
    <t>งานกีฬาและ
นันทนาการ</t>
  </si>
  <si>
    <t>งานศาสนาและ
วัฒนธรรมท้องถิ่น</t>
  </si>
  <si>
    <t>งานวิชการวางแผน
และส่งเสริม
การท่องเที่ยว</t>
  </si>
  <si>
    <t>งานก่อสร้างโครงสร้าง
พื้นฐาน</t>
  </si>
  <si>
    <t>งานอนุรักษ์แหล่งน้ำ
และป่าไม้</t>
  </si>
  <si>
    <t>บริหาร
งาน
ทั่วไป</t>
  </si>
  <si>
    <t>การรักษา
ความ
สงบภายใน</t>
  </si>
  <si>
    <t>การศึกษา</t>
  </si>
  <si>
    <t>สังคม
สงเคราะห์</t>
  </si>
  <si>
    <t>เคหะและ
ชุมชน</t>
  </si>
  <si>
    <t>สร้าง
ความ
เข้มแข็ง
ของชุมชน</t>
  </si>
  <si>
    <t>การ
ศาสนา
วัฒนธรรม
และ
นันทนาการ</t>
  </si>
  <si>
    <t>อุตสาหกรรม
และการโยธา</t>
  </si>
  <si>
    <t>การเกษตร
การ</t>
  </si>
  <si>
    <t>การ
พาณิชย์</t>
  </si>
  <si>
    <t>สาธารณสุข
สังคม</t>
  </si>
  <si>
    <t>ค่าครุภัณฑ์   (หมายเหตุ  1)</t>
  </si>
  <si>
    <t>ค่าที่ดินและสิ่งก่อสร้าง  (หมายเหตุ 2 )</t>
  </si>
  <si>
    <t>รวยรายจ่าย</t>
  </si>
  <si>
    <t>หมวดภาษีอากร</t>
  </si>
  <si>
    <t>หมวดค่าธรรมเนียมค่าปรับและใบอนุญาต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</si>
  <si>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</si>
  <si>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</si>
  <si>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</si>
  <si>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หมวดรายได้จากทรัพย์สิน</t>
  </si>
  <si>
    <t>หมวดเงินอุดหนุนระบุวัตถุประสงค์/เฉพาะกิจ</t>
  </si>
  <si>
    <t>รายรับสูงกว่าหรือ(ต่ำกว่า)รายจ่าย</t>
  </si>
  <si>
    <t>งบแสดงผลการดำเนินงานจ่ายจากเงินรายรับและเงินสะสม</t>
  </si>
  <si>
    <t>งบแสดงผลการดำเนินงานจ่ายจากเงินรายรับ เงินสะสม และเงินทุนสำรองเงินสะสม</t>
  </si>
  <si>
    <r>
      <rPr>
        <b/>
        <sz val="16"/>
        <color indexed="10"/>
        <rFont val="TH SarabunPSK"/>
        <family val="2"/>
      </rPr>
      <t>หมวด</t>
    </r>
    <r>
      <rPr>
        <b/>
        <sz val="16"/>
        <color indexed="8"/>
        <rFont val="TH SarabunPSK"/>
        <family val="2"/>
      </rPr>
      <t>ภาษีอากร</t>
    </r>
  </si>
  <si>
    <r>
      <rPr>
        <b/>
        <sz val="16"/>
        <color indexed="10"/>
        <rFont val="TH SarabunPSK"/>
        <family val="2"/>
      </rPr>
      <t>หมวด</t>
    </r>
    <r>
      <rPr>
        <b/>
        <sz val="16"/>
        <color indexed="8"/>
        <rFont val="TH SarabunPSK"/>
        <family val="2"/>
      </rPr>
      <t>ค่าธรรมเนียมค่าปรับและใบอนุญาต</t>
    </r>
  </si>
  <si>
    <r>
      <rPr>
        <b/>
        <sz val="16"/>
        <color indexed="10"/>
        <rFont val="TH SarabunPSK"/>
        <family val="2"/>
      </rPr>
      <t>หมวด</t>
    </r>
    <r>
      <rPr>
        <b/>
        <sz val="16"/>
        <color indexed="8"/>
        <rFont val="TH SarabunPSK"/>
        <family val="2"/>
      </rPr>
      <t>รายได้จากสาธารณูปโภคแ</t>
    </r>
    <r>
      <rPr>
        <b/>
        <sz val="16"/>
        <color indexed="10"/>
        <rFont val="TH SarabunPSK"/>
        <family val="2"/>
      </rPr>
      <t>ละการพาณิชย์</t>
    </r>
  </si>
  <si>
    <r>
      <rPr>
        <b/>
        <sz val="16"/>
        <color indexed="10"/>
        <rFont val="TH SarabunPSK"/>
        <family val="2"/>
      </rPr>
      <t>หมวด</t>
    </r>
    <r>
      <rPr>
        <b/>
        <sz val="16"/>
        <color indexed="8"/>
        <rFont val="TH SarabunPSK"/>
        <family val="2"/>
      </rPr>
      <t>รายได้เบ็ดเตล็ด</t>
    </r>
  </si>
  <si>
    <r>
      <rPr>
        <b/>
        <sz val="16"/>
        <color indexed="10"/>
        <rFont val="TH SarabunPSK"/>
        <family val="2"/>
      </rPr>
      <t>หมวด</t>
    </r>
    <r>
      <rPr>
        <b/>
        <sz val="16"/>
        <color indexed="8"/>
        <rFont val="TH SarabunPSK"/>
        <family val="2"/>
      </rPr>
      <t>รายได้จากทุน</t>
    </r>
  </si>
  <si>
    <t>จำนวนเงินที่ อปท. จะได้รับจากรัฐบาลแต่ยังไม่ได้รับเงิน  เมื่อสิ้นปีงบประมาณให้บันทึกรับรู้รายได้จากรัฐบาลค้างรับตามจำนวนเงินที่ไม่ได้รับ</t>
  </si>
  <si>
    <t>องค์กรปกครองส่วนท้องถิ่น (อปท.)
1 เมษายน 2558</t>
  </si>
  <si>
    <t xml:space="preserve">คำอธิบาย
</t>
  </si>
  <si>
    <t xml:space="preserve">“ทรัพย์สินตามงบทรัพย์สิน” และ “ทุนทรัพย์สิน”  (มี)
หมายเหตุ 2
</t>
  </si>
  <si>
    <t xml:space="preserve">นำมาจากยอดรวมของงบทรัพย์สิน
(ณ ปัจจุบัน อปท. ยังไม่มีระเบียบ หรือ หนังสือสั่งการเรื่องการคิดค่าเสื่อมราคาทรัพย์สิน)
</t>
  </si>
  <si>
    <t xml:space="preserve">เงินสดและเงินฝากธนาคาร
หมายเหตุ 3
</t>
  </si>
  <si>
    <t xml:space="preserve">ได้แก่ เงินสดในมือ เช็ค ตั๋วแลกเงิน และธนาณัติ ให้บันทึกรับรู้เงินสดและเงินฝากธนาคารในราคาตามมูลค่าที่ตราไว้
</t>
  </si>
  <si>
    <t>เงินฝาก ก.ส.อ</t>
  </si>
  <si>
    <t>เงินฝาก ก.ส.ท.</t>
  </si>
  <si>
    <t xml:space="preserve">    จำนวนเงินที่ อบจ. และเทศบาลส่งสมทบตาม กฎหมาย ระเบียบ ข้อบังคับ คำสั่ง ประกาศ กำหนด (เทศบาลจะจัดส่งร้อยละสิบของเงินสะสมเป็นประจำทุกปี ส่งภายในเดือนธันวาคมของทุกปี)
</t>
  </si>
  <si>
    <t xml:space="preserve">รายได้จากรัฐบาลค้างรับ
หมายเหตุ 4
</t>
  </si>
  <si>
    <t xml:space="preserve">ลูกหนี้ค่าภาษี
หมายเหตุ 5           
</t>
  </si>
  <si>
    <t xml:space="preserve">ลูกหนี้เงินยืม
</t>
  </si>
  <si>
    <t xml:space="preserve">ลูกหนี้ที่เกิดจากการที่ อปท. ให้ยืมเงินไปใช้จ่ายในการปฏิบัติงาน  ให้บันทึกรับรู้ลูกหนี้ในกรณีนี้ตามจำนวนเงินที่ยืม   เช่น  ยืมเงินไปราชการ
</t>
  </si>
  <si>
    <t xml:space="preserve">ลูกหนี้รายได้อื่น ๆ
หมายเหตุ 6
</t>
  </si>
  <si>
    <t xml:space="preserve">จำนวนเงินรายได้ที่ อปท. เป็นผู้จัดเก็บโดยมีระยะเวลาการชำระเงินที่แน่นอน จากบุคคลภายนอก หรือหน่วยงานอื่น หรือรายได้อื่นที่มีหลักฐานหรือสัญญาที่ระบุการชำระที่แน่นอน  ซึ่งเรียกเก็บไม่ได้ในปี งปม. ที่เกิดรายได้ เช่น ค่าเช่า ค่าน้ำประปา
</t>
  </si>
  <si>
    <t xml:space="preserve">สินทรัพย์หมุนเวียนอื่น
หมายเหตุ 8
</t>
  </si>
  <si>
    <t xml:space="preserve">หุ้นโรงพิมพ์อาสารักษาดินแดน
</t>
  </si>
  <si>
    <t xml:space="preserve">ทรัพย์สินเกิดจากเงินกู้
หมายเหตุ 2
</t>
  </si>
  <si>
    <t xml:space="preserve">สินทรัพย์ไม่หมุนเวียนอื่น
หมายเหตุ 9
</t>
  </si>
  <si>
    <t xml:space="preserve">ลูกหนี้เงินยืมเงินสะสม
</t>
  </si>
  <si>
    <t xml:space="preserve">ลูกหนี้เงินทุนโครงการเศรษฐกิจชุมชน
</t>
  </si>
  <si>
    <t xml:space="preserve">ลูกหนี้อื่น ๆ
หมายเหตุ 7
</t>
  </si>
  <si>
    <t xml:space="preserve">ลูกหนี้ที่ไม่ได้เกิดจากรายได้จากการดำเนินงานของ อปท.  ให้บันทึกรับรู้ลูกหนี้อื่น เมื่อสามารถระบุผู้รับผิดชอบได้  เช่น ลูกหนี้ความรับผิดทางละเมิด
</t>
  </si>
  <si>
    <t xml:space="preserve">รายจ่ายค้างจ่าย
หมายเหตุ 10
</t>
  </si>
  <si>
    <t xml:space="preserve">จำนวนเงินที่วางฎีกาเบิกเงินภายในวันที่สามสิบกันยายนแล้ว แต่ไม่สามารถอนุมัติและเบิกจ่ายเงินทันภายในสิ้นปี งปม. และจะต้องอนุมัติและเบิกจ่ายเงินภายในวันทำการสุดท้ายของเดือนตุลาคมของทุกปี 
</t>
  </si>
  <si>
    <t xml:space="preserve">รายจ่ายผัดส่งใบสำคัญ
</t>
  </si>
  <si>
    <t xml:space="preserve">จำนวนเงินที่ให้ยืมไปใช้จ่ายในการปฏิบัติงานซึ่งยังไม่ได้ส่งใช้ภายในปี งปม.  เมื่อสิ้นปี    งปม. ให้บันทึกรับรู้รายจ่ายผัดส่งใบสำคัญตามมูลค่าเท่ากับยอดลูกหนี้เงินที่ยังไม่ได้ส่งใช้
</t>
  </si>
  <si>
    <t xml:space="preserve">เงินรับฝาก
หมายเหตุ 12
</t>
  </si>
  <si>
    <t xml:space="preserve">หนี้สินหมุนเวียนอื่น
หมายเหตุ 13
</t>
  </si>
  <si>
    <t xml:space="preserve">ภาระผูกพันที่ อปท. คาดว่าจะชำระหนี้สิ้นภายในรอบระยะเวลาการดำเนินงานปกติของหน่วยงาน หรือหนี้สินถึงกำหนดชำระภายในหนึ่งปี นับจากวันที่ในงบแสดงฐานะการเงิน   เช่น เงินเกินบัญชี 
</t>
  </si>
  <si>
    <t xml:space="preserve">หนี้สินไม่หมุนเวียนอื่น ๆ
</t>
  </si>
  <si>
    <t xml:space="preserve">หนี้สินที่ไม่เข้าลักษณะตามคำนิยามของหนี้สินหมุนเวียน
</t>
  </si>
  <si>
    <t xml:space="preserve">เงินสะสม
หมายเหตุ 16
</t>
  </si>
  <si>
    <t xml:space="preserve">เงินที่เหลือจ่ายจากเงินรายได้ตาม งปม. รายจ่ายประจำปี และหรือ งปม. รายจ่ายเพิ่มเติม และให้หมายความรวมถึงรายได้อื่นที่ อปท. ได้รับไว้ภายในวันสิ้นปี งปม. รวมทั้งเงินสะสมปีก่อน ๆ ร้อยละเจ็ดสิบห้า
</t>
  </si>
  <si>
    <t>เงินทุนสำรองเงินสะสม
หมายเหตุ 17</t>
  </si>
  <si>
    <t xml:space="preserve">เงินเหลือจ่ายจากเงินรายได้ตาม งปม. รายจ่ายประจำปี และหรือ งปม. รายจ่ายเพิ่มเติมที่ได้รับไว้ภายในวันสิ้นปี งปม. จำนวนร้อยละยี่สิบห้า
</t>
  </si>
  <si>
    <t xml:space="preserve">หมวดภาษีอากร
</t>
  </si>
  <si>
    <t xml:space="preserve">รายได้ประเภทภาษีอากรซึ่งองค์กรปกครองส่วนท้องถิ่นมีอำนาจจัดเก็บ หรือรัฐบาลจัดเก็บแล้วโอนทั้งหมดหรือแบ่งให้แต่บางส่วนตามที่มีกฎหมายกำหนดไว้
</t>
  </si>
  <si>
    <t xml:space="preserve">หมวดค่าธรรมเนียมค่าปรับและใบอนุญาต
</t>
  </si>
  <si>
    <t xml:space="preserve">รายได้ประเภทค่าธรรมเนียม ค่าปรับ และใบอนุญาต ซึ่งองค์กรปกครองส่วนท้องถิ่นมีอำนาจจัดเก็บหรือรัฐบาลจัดเก็บแล้วโอนทั้งหมดหรือแบ่งให้แต่บางส่วนตามที่มีกฎหมายกำหนด
</t>
  </si>
  <si>
    <t xml:space="preserve">หมวดรายได้จากทรัพย์สิน
</t>
  </si>
  <si>
    <t xml:space="preserve">หมวดรายได้จากสาธารณูปโภค
</t>
  </si>
  <si>
    <t xml:space="preserve">หมวดรายได้จากทุน
</t>
  </si>
  <si>
    <t xml:space="preserve">รายได้ที่เกิดจากการขายทรัพย์สินของ อปท. ซึ่งสามารถจำหน่ายได้ตามที่ระเบียบกฎหมายให้อำนาจไว้ เช่น ค่าขายทอดตลาดทรัพย์สิน
</t>
  </si>
  <si>
    <t xml:space="preserve">หมวดรายได้เบ็ดเตล็ด
</t>
  </si>
  <si>
    <t xml:space="preserve">รายได้อื่นๆ ที่ไม่เข้าลักษณะรายได้หมวดหนึ่งหมวดใดดังกล่าวข้างต้น หรือมีระเบียบคำสั่งกำหนดให้อยู่ในหมวดนี้  เช่น  เงินที่มีผู้อุทิศให้
</t>
  </si>
  <si>
    <t xml:space="preserve">หมวดภาษีจัดสรร
</t>
  </si>
  <si>
    <t xml:space="preserve">รายได้ที่รัฐบาลเก็บแล้วจัดสรรให้ อปท.  เช่น ภาษี 1ใน 9 , ภาษีธุรกิจเฉพาะ 
</t>
  </si>
  <si>
    <t xml:space="preserve">หมวดเงินอุดหนุนทั่วไป
</t>
  </si>
  <si>
    <t xml:space="preserve">รายได้ที่รัฐบาลอุดหนุนให้ อปท.  เช่น อาหารกลางวัน
</t>
  </si>
  <si>
    <t>หมวดเงินอุดหนุนระบุวัตถุประสงค์ หรือ อุดหนุนเฉพาะกิจ</t>
  </si>
  <si>
    <t xml:space="preserve">รายได้ที่รัฐบาลจัดการโอนให้เป็นการเฉพาะ  เช่น  เบี้ยยังชีพคนชรา  , เบี้ยยังชีพคนพิการ  ,  ก่อสร้างอาคารศูนย์เด็ก
</t>
  </si>
  <si>
    <t xml:space="preserve">เงินอุดหนุนทั่วไปเพื่อสนับสนุนการบริหารจัดการของ อปท.ตามยุทธศาสตร์การพัฒนาประเทศ ปี 57  (ประกาศคณะกรรมการการกระจายให้ อปท. พ.ศ.2557 หนังสือกระทรวงมหาดไทย  ที่ มท 0810.3/ว3399  ลว. 10 ตุลาคม 2557)
</t>
  </si>
  <si>
    <t xml:space="preserve">เป็นเงินที่ได้จากการกระจายเพื่อจัดตามตามโครงการต่าง ๆ มิได้มาจากการตั้งข้อบัญญัติ หรือเทศบัญญัติ เป็นการพัฒนาโครงสร้างพื้นฐาน สร้างสุขให้กับประชาชน จัดสรร อปท. ละหนึ่งล้านบาท
</t>
  </si>
  <si>
    <t xml:space="preserve">หมวดเงินเดือน(ฝ่ายการเมือง)
</t>
  </si>
  <si>
    <t>หมวดเงินเดือน(ฝ่ายประจำ)</t>
  </si>
  <si>
    <t>หมวดค่าตอบแทน</t>
  </si>
  <si>
    <t xml:space="preserve">เงินที่จ่ายตอบแทนให้แก่ผู้ที่ปฏิบัติงานให้ อปท.
</t>
  </si>
  <si>
    <t xml:space="preserve">หมวดค่าใช้สอย
</t>
  </si>
  <si>
    <t xml:space="preserve">รายจ่ายเพื่อให้ได้มาซึ่งบริการ (ยกเว้นบริการสาธารณูปโภค สื่อสารและโทรคมนาคม) รายจ่ายที่เกี่ยวกับการรับรองและพิธีการ และรายจ่ายที่เกี่ยวเนื่องกับการปฏิบัติราชการที่ไม่เข้าลักษณะรายจ่ายอื่นๆ ค่าบำรุงรักษาและซ่อมแซม
</t>
  </si>
  <si>
    <t xml:space="preserve">หมวดค่าวัสดุ
</t>
  </si>
  <si>
    <t xml:space="preserve">หมวดค่าสาธารณูปโภค
</t>
  </si>
  <si>
    <t xml:space="preserve">รายจ่ายค่าบริการสาธารณูปโภค สื่อสารและโทรคมนาคม รวมถึงค่าใช้จ่ายที่ต้องชำระพร้อมกัน เช่น ค่าบริการ ค่าภาษี เป็นต้น
</t>
  </si>
  <si>
    <t>หมวดเงินอุดหนุน</t>
  </si>
  <si>
    <t xml:space="preserve">เงินที่จ่ายให้องค์กรอื่นเพื่อนำไปดำเนินการตามอำนาจหน้าที่ของ อปท. ตามกฎหมาย โดย  อปท.  มิได้ดำเนินการเอง
</t>
  </si>
  <si>
    <t>หมวดรายจ่ายอื่น</t>
  </si>
  <si>
    <t xml:space="preserve">รายจ่ายที่ไม่เข้าลักษณะประเภทงบรายจ่ายใดงบรายจ่ายหนึ่ง หรือรายจ่ายที่กำหนดให้ใช้จ่ายในงบรายจ่ายนี้
</t>
  </si>
  <si>
    <t xml:space="preserve">งบกลาง
</t>
  </si>
  <si>
    <t xml:space="preserve">รายจ่ายที่องค์กรปกครองส่วนท้องถิ่นมีภาระผูกพันต้องจ่ายและเป็นรายจ่ายที่ตั้งไว้
เพื่อจัดสรรให้หน่วยงานต่างๆ เบิกจ่าย  เช่น
 ค่าชำระหนี้เงินต้น , เงินสมทบประกันสังคม
</t>
  </si>
  <si>
    <t xml:space="preserve">หมวดค่าครุภัณฑ์
</t>
  </si>
  <si>
    <t xml:space="preserve">รายจ่ายเพื่อให้ได้มาซึ่งสิ่งของโดยสภาพมีลักษณะคงทนถาวรที่มีราคาต่อหน่วยหรือต่อชุดเกินกว่า 5,000 บาท  เช่น ครุภัณฑ์สำนักงาน
</t>
  </si>
  <si>
    <t xml:space="preserve">หมวดค่าที่ดินและสิ่งก่อสร้าง 
</t>
  </si>
  <si>
    <t xml:space="preserve">รายจ่ายเพื่อให้ได้มาซึ่งที่ดินและหรือสิ่งก่อสร้าง รวมถึงสิ่งต่างๆ ที่ติดตรึงกับที่ดินและหรือสิ่งก่อสร้าง โดยมีลักษณะอย่างหนึ่งอย่างใด
</t>
  </si>
  <si>
    <t xml:space="preserve">ตามประกาศ 1 เมษายน 2558
(หนังสือกรมส่งเสริมการปกครองท้องถิ่น ที่ มท 0808.4/ว.659  ลว. 30 มีนาคม 2558)ทรัพย์สินที่แสดงตามงบทรัพย์สินเป็นกรรมสิทธิ์ของ อปท. และ อปท. ใช้ประโยชน์โดยตรงรวมทั้งทรัพย์สินที่ให้ยืมหรือเช่า ยกเว้นทรัพย์สินที่จัดไว้เพื่อเป็นการให้บริหารสาธารณะ เช่น ถนน สะพาน ลานกีฬา
</t>
  </si>
  <si>
    <t xml:space="preserve"> ยอดรวมของลูกหนี้ทั้งสามประเภทเมื่อสิ้นปี งปม .ให้เปิดเผยรายละเอียดลูกหนี้ทั้งสามประเภทไว้ในหมายเหตุประกอบงบแสดงฐานะการเงิน</t>
  </si>
  <si>
    <t>สินทรัพย์ที่หน่วยงานคาดว่าจะรับรู้ประโยชน์จากสินทรัพย์นั้น หรือสินทรัพย์ที่นำมาใช้ในการดำเนินงานภายในรอบระยะเวลาดำเนินงานปกติของ อปท. หรือคาดว่าจะรับรู้ประโยชน์จากสินทรัพย์นั้นภายในหนึ่งปี  นับจากวันที่ในงบแสดงฐานะการเงินรวมทั้ง เงินสด เงินฝากธนาคาร และเงินฝากกองทุน เช่น เงินจ่ายล่วงหน้า เป็นต้น</t>
  </si>
  <si>
    <t>โรงพิมพ์อาสารักษาดินแดน  เป็นองค์กรจัดพิมพ์แบบพิมพ์ต่างๆ หนังสือ นิตยสาร วารสาร หรือเอกสารอื่น ๆ จากหน่ายราชการ</t>
  </si>
  <si>
    <t>อปท. (อบจ. เทศบาล) ได้มีการทำบันทึกข้อตกลงกู้เงินจากสถาบันการเงิน เพื่อซื้อทรัพย์สิน ตามระเบียบของ อปท. เช่น การกู้เงินเพื่อก่อสร้างอาคารสำนักงาน เป็นต้น</t>
  </si>
  <si>
    <t>สินทรัพย์ที่ไม่เข้าลักษณะตามคำนิยามของสินทรัพย์หมุนเวียน เช่น เงินขาดบัญชี เป็นต้น</t>
  </si>
  <si>
    <t>จำนวนเงินที่ได้ยืมเงินสะสมไปใช้จ่ายในกิจการงบเฉพาะการ หรือยืมเงินสะสมทดรองจ่ายตามที่มีกฎหมายหรือระเบียบกำหนด ไม่รวมเงินอุดหนุนระบุวัตถุประสงค์ หรือ เงินอุดหนุนเฉพาะกิจ  เช่น ยืมเพื่อไปใช้จ่ายในกิจการประปา</t>
  </si>
  <si>
    <t>ลูกหนี้ที่เกิดจากการกู้ยืมเงินตามโครงการเศรษฐกิจชุมชน ให้บันทึกรับรู้ลูกหนี้เงินทุนฯ  ตามมูลค่าตามสัญญาที่ได้กู้ยืมเงินไว้กับ อปท.</t>
  </si>
  <si>
    <t xml:space="preserve">จำนวนเงินที่ได้รับอนุมัติให้กันเงินจากผู้มีอำนาจไว้จ่ายในปี งปม. ถัดไป 
</t>
  </si>
  <si>
    <t>จำนวนเงินที่ได้รับโดยมีวัตถุประสงค์ให้ใช้จ่ายในกิจการอย่างใดอย่างหนึ่ง โดยเฉพาะหรือรับไว้เพื่อจ่ายตามเงื่อนไข หรือคืนเงินให้กับผู้มีสิทธิ  เช่น เงินรับฝากประกันสัญญา เป็นต้น</t>
  </si>
  <si>
    <t xml:space="preserve">จำนวนเงินที่ได้รับจากแหล่งเงินกู้  และระเบียบของ อปท. ให้กู้ได้เฉพาะเทศบาล และ องค์การบริหารส่วนจังหวัด
</t>
  </si>
  <si>
    <t xml:space="preserve">เจ้าหนี้เงินกู้
หมายเหตุ 14
</t>
  </si>
  <si>
    <t>ฎีกาค้างจ่าย
หมายเหตุ 11</t>
  </si>
  <si>
    <t xml:space="preserve">รายจ่ายที่กำหนดให้จ่ายเพื่อการบริหารงานบุคคล ได้แก่ รายจ่ายที่จ่ายในลักษณะเงินเดือน ค่าจ้างประจำ ค่าจ้างชั่วคราว และค่าตอบแทนพนักงานจ้าง รวมถึงรายจ่ายที่กำหนดให้จ่ายในลักษณะรายจ่ายดังกล่าว   แบ่งเป็น
1. เงินเดือน(ฝ่ายการเมือง) เช่น เงินเดือนนายก 
2.  เงินเดือน(ฝ่ายประจำ) เช่น เงินเดือนพนักงาน
</t>
  </si>
  <si>
    <t>อ้างอิงจาก</t>
  </si>
  <si>
    <t>หนังสือกรมส่งเสริมการปกครองท้องถิ่น  ด่วนมาก  ที่ มท 0808.2 / ว 1657     ลงวันที่ 16 กรกฎาคม 2556
เรื่อง รูปแบบและการจำแนกประเภทรายรับ – รายจ่าย งบประมาณรายจ่ายประจำปี ของ อปท.</t>
  </si>
  <si>
    <t xml:space="preserve"> หนังสือกระทรวงมหาดไทย ที่ มท 0808.4 / ว 1723     ลงวันที่ 20 มีนาคม 2558
เรื่อง หลักเกณฑ์และวิธีปฏิบัติการบันทึกบัญชี การจัดทำทะเบียน และรายงานการเงินของ อปท.</t>
  </si>
  <si>
    <t xml:space="preserve"> หนังสือกรมส่งเสริมการปกครองท้องถิ่น  ที่ มท 0808.4 / ว 659     ลงวันที่  30 มีนาคม 2558
เรื่อง การกำหนดแบบบัญชี ทะเบียน และรายงานการเงินของ อปท.</t>
  </si>
  <si>
    <t xml:space="preserve"> หนังสือกรมส่งเสริมการปกครองท้องถิ่น  ด่วนมาก ที่ มท 0808.2 / ว 1134      ลงวันที่  9  มิถุนายน 2558
เรื่อง การปรับปรุงหลักการจำแนกประเภทรายจ่ายตามงบประมาณของ อปท.</t>
  </si>
  <si>
    <t xml:space="preserve">รายได้อันเกิดจากผลประโยชน์ในทรัพย์สินไม่ว่าจะเป็นดอกเบี้ยหรือเงินปันผลและจากการให้เช่าหรือให้บริการ หรือค่าตอบแทนในทรัพย์สิน หรือสถานที่ หรือที่ดิน สิ่งก่อสร้างอันเป็นทรัพย์สินของ อปท. หรืออยู่ในความดูแลขององค์กรปกครองส่วนท้องถิ่น  เช่น ค่าเช่า  , ดอกเบี้ย </t>
  </si>
  <si>
    <t xml:space="preserve">รายได้อันเกิดจากการสาธารณูปโภคและหรือการพาณิชย์ใดๆ ของ อปท. เช่น  เงินช่วยเหลือกิจการประปา
</t>
  </si>
  <si>
    <t>รายจ่ายเพื่อให้ได้มาซึ่งสิ่งของโดยสภาพมีลักษณะเมื่อใช้แล้วย่อมสิ้นเปลือง หมดไป แปรสภาพ หรือไม่คงสภาพเดิม และให้หมายความรวมถึงรายจ่าย  ลักษณะของการจัดหาวัสดุไม่เกินห้าพันบาท</t>
  </si>
  <si>
    <t>รายละเอียดประกอบงบแสดงผลการดำเนินงานจ่ายจากเงินรายรับ</t>
  </si>
  <si>
    <t xml:space="preserve">  หมายเหตุ  1    ค่าครุภัณฑ์ </t>
  </si>
  <si>
    <t>บาท</t>
  </si>
  <si>
    <t>ประกอบด้วย</t>
  </si>
  <si>
    <t>จ่ายจากเงินรายรับ</t>
  </si>
  <si>
    <t>จ่ายจากเงินอุดหนุนระบุวัตถุประสงค์ / เฉพาะกิจ</t>
  </si>
  <si>
    <t xml:space="preserve">  หมายเหตุ  2    ค่าที่ดินและสิ่งก่อสร้าง     จำนวนเงิน</t>
  </si>
  <si>
    <t xml:space="preserve">  หมายเหตุ  2    ค่าที่ดินและสิ่งก่อสร้าง     </t>
  </si>
  <si>
    <t>หมายเหตุ 2    งบทรัพย์สิน</t>
  </si>
  <si>
    <t>จ่ายจากเงินสะสม</t>
  </si>
  <si>
    <t>รายละเอียดประกอบงบแสดงผลการดำเนินงานจ่ายจากเงินรายรับ เงินสะสม และเงินทุนสำรองเงินสะสม</t>
  </si>
  <si>
    <t>จ่ายจากเงินทุนสำรองเงินสะสม</t>
  </si>
  <si>
    <t>องค์การบริหารส่วนตำบลคอกควาย</t>
  </si>
  <si>
    <t>เงินฝากธนาคาร กรุงไทย ประเภท-ประจำ 619-2-27062-7</t>
  </si>
  <si>
    <t>เงินฝากธนาคาร ธกส. ประเภทออมทรัพย์ 249-2-40246-9</t>
  </si>
  <si>
    <t>เงินฝากธนาคาร ธกส. ประเภทออมทรัพย์ 249-2-44438-4</t>
  </si>
  <si>
    <t>เงินเดือนฝ่ายประจำ</t>
  </si>
  <si>
    <t>รายได้จากรัฐบาลค้างรับ/จังหวัดค้างรับ</t>
  </si>
  <si>
    <t>ค่าใช้จ่ายในการจัดเก็บภาษีบำรุงท้องที่ 5 %</t>
  </si>
  <si>
    <t>ค่าใช้จ่ายในการจัดเก็บภาษีบำรุงท้องที่ 6 %</t>
  </si>
  <si>
    <t>เงินโครงการเศรษฐกิจชุมชน(ดอกเบี้ย,ค่าปรับ,,เงินแสน,เงินสมทบ)</t>
  </si>
  <si>
    <t>เงินรอคืนจังหวัด</t>
  </si>
  <si>
    <t>เจ้าหนี้เงินยืมสะสม</t>
  </si>
  <si>
    <t>ตั้งแต่วันที่ 1  ตุลาคม  2557  ถึง  30  กันยายน  2558</t>
  </si>
  <si>
    <t>หมวดเงินอุดหนุนระบุวัตถุประสงค์</t>
  </si>
  <si>
    <t>หมวดเงินอุดหนุนเฉพาะกิจ</t>
  </si>
  <si>
    <t>หมายเหตุประกอบงบปสดงฐานะการเงิน</t>
  </si>
  <si>
    <t>ข้อมูลทั่วไป</t>
  </si>
  <si>
    <t xml:space="preserve"> </t>
  </si>
  <si>
    <t xml:space="preserve">             องค์การบริหารส่วนตำบลคอกควาย มีอัตรากำลังฝ่ายการเมือง และฝ่ายประจำ ดังนี้</t>
  </si>
  <si>
    <t>ฝ่ายการเมือง</t>
  </si>
  <si>
    <t xml:space="preserve">              เลขานุการนายกองค์การบริหารส่วนตำบลคอกควาย    จำนวน   1  คน</t>
  </si>
  <si>
    <t xml:space="preserve">              รองนายกองค์การบริหารส่วนตำบลคอกควาย           จำนวน   2  คน</t>
  </si>
  <si>
    <t xml:space="preserve">              นายกองค์การบริหารส่วนตำบลคอกควาย               จำนวน    1   คน</t>
  </si>
  <si>
    <t xml:space="preserve">              สมาชิกสภาองค์การบริหารส่วนตำบลคอกควาย         จำนวน  32  คน</t>
  </si>
  <si>
    <t xml:space="preserve">                            รวมอัตรากำลังฝ่ายการเมือง                          36  คน</t>
  </si>
  <si>
    <r>
      <t xml:space="preserve">             องค์การบริหารส่วนตำบลคอกควาย  จัดตั้ง  ณ  วันที่  </t>
    </r>
    <r>
      <rPr>
        <u val="single"/>
        <sz val="16"/>
        <color indexed="8"/>
        <rFont val="TH SarabunPSK"/>
        <family val="2"/>
      </rPr>
      <t>16  ธันวาคม  2539</t>
    </r>
    <r>
      <rPr>
        <sz val="16"/>
        <color indexed="8"/>
        <rFont val="TH SarabunPSK"/>
        <family val="2"/>
      </rPr>
      <t xml:space="preserve">  ลำดับที่  </t>
    </r>
    <r>
      <rPr>
        <u val="single"/>
        <sz val="16"/>
        <color indexed="8"/>
        <rFont val="TH SarabunPSK"/>
        <family val="2"/>
      </rPr>
      <t xml:space="preserve">3400 </t>
    </r>
    <r>
      <rPr>
        <sz val="16"/>
        <color indexed="8"/>
        <rFont val="TH SarabunPSK"/>
        <family val="2"/>
      </rPr>
      <t xml:space="preserve"> ตามประกาศกระทรวง</t>
    </r>
  </si>
  <si>
    <r>
      <t xml:space="preserve">มหาดไทย เรื่อง  จัดตั้งองค์การบริหารส่วนตำบล  ลงวันที่ </t>
    </r>
    <r>
      <rPr>
        <u val="single"/>
        <sz val="16"/>
        <color indexed="8"/>
        <rFont val="TH SarabunPSK"/>
        <family val="2"/>
      </rPr>
      <t>16 ธันวาคม  2539</t>
    </r>
    <r>
      <rPr>
        <sz val="16"/>
        <color indexed="8"/>
        <rFont val="TH SarabunPSK"/>
        <family val="2"/>
      </rPr>
      <t xml:space="preserve">  ใน ประกาศราชกิจจานุเบกษา  เล่มที่ </t>
    </r>
    <r>
      <rPr>
        <u val="single"/>
        <sz val="16"/>
        <color indexed="8"/>
        <rFont val="TH SarabunPSK"/>
        <family val="2"/>
      </rPr>
      <t>113</t>
    </r>
  </si>
  <si>
    <r>
      <t xml:space="preserve">ตอน </t>
    </r>
    <r>
      <rPr>
        <u val="single"/>
        <sz val="16"/>
        <color indexed="8"/>
        <rFont val="TH SarabunPSK"/>
        <family val="2"/>
      </rPr>
      <t xml:space="preserve">พิเศษ 529  </t>
    </r>
    <r>
      <rPr>
        <sz val="16"/>
        <color indexed="8"/>
        <rFont val="TH SarabunPSK"/>
        <family val="2"/>
      </rPr>
      <t xml:space="preserve">ลงวันที่ </t>
    </r>
    <r>
      <rPr>
        <u val="single"/>
        <sz val="16"/>
        <color indexed="8"/>
        <rFont val="TH SarabunPSK"/>
        <family val="2"/>
      </rPr>
      <t>25 ธันวาคม  2539</t>
    </r>
    <r>
      <rPr>
        <sz val="16"/>
        <color indexed="8"/>
        <rFont val="TH SarabunPSK"/>
        <family val="2"/>
      </rPr>
      <t xml:space="preserve">  </t>
    </r>
  </si>
  <si>
    <t>ฝ่ายประจำ</t>
  </si>
  <si>
    <t>หมายเหตุ  1  สรุปนโยบายการบัญชีที่สำคัญ</t>
  </si>
  <si>
    <t xml:space="preserve">                 1.1   หลักเกณฑ์ในการจัดทำงบแสดงฐานะการเงิน</t>
  </si>
  <si>
    <t xml:space="preserve">                        การบันทึกบัญชีเพื่อจัดทำงบแสดงฐานะการเงินเป็นไปตามเกณฑ์เงินสดและเกณฑ์คงค้างตามประกาศ</t>
  </si>
  <si>
    <t>กระทรวงมหาดไทย  เรื่อง หลักเกณฑ์และวิธีปฏิบัติการบันทึกบัญชี  การจัดทำทะเบียน  และรายงานการเงินขององค์กรปกครอง</t>
  </si>
  <si>
    <t>ท้องถิ่น  เมื่อวันที่  20  มีนาคม  พ.ศ.2558  และหนังสือสังการที่เกี่ยวข้อง</t>
  </si>
  <si>
    <t xml:space="preserve">                 1.2 รายการเปิดเผยอื่นใด (ถ้ามี)</t>
  </si>
  <si>
    <r>
      <t xml:space="preserve">            องค์การบริหารส่วนตำบลคอกควาย  มีพื้นที่จำนวน  </t>
    </r>
    <r>
      <rPr>
        <u val="single"/>
        <sz val="16"/>
        <color indexed="8"/>
        <rFont val="TH SarabunPSK"/>
        <family val="2"/>
      </rPr>
      <t>352</t>
    </r>
    <r>
      <rPr>
        <sz val="16"/>
        <color indexed="8"/>
        <rFont val="TH SarabunPSK"/>
        <family val="2"/>
      </rPr>
      <t xml:space="preserve">  ตารางกิโลเมตร  หรือ  </t>
    </r>
    <r>
      <rPr>
        <u val="single"/>
        <sz val="16"/>
        <color indexed="8"/>
        <rFont val="TH SarabunPSK"/>
        <family val="2"/>
      </rPr>
      <t xml:space="preserve">220 ,000  </t>
    </r>
    <r>
      <rPr>
        <sz val="16"/>
        <color indexed="8"/>
        <rFont val="TH SarabunPSK"/>
        <family val="2"/>
      </rPr>
      <t>ไร่  แบ่งเขตการปกครอง</t>
    </r>
  </si>
  <si>
    <t xml:space="preserve">เงินงบประมาณ </t>
  </si>
  <si>
    <t>อุตสาหกรรมและการโยธา</t>
  </si>
  <si>
    <t>ก่อสร้างโครงสร้างพื้นฐาน</t>
  </si>
  <si>
    <t>ค่าก่อสร้างสิ่งสาธารณูปโภค</t>
  </si>
  <si>
    <t>รายจ่ายเพื่อให้ได้มาซึ่งบริการ</t>
  </si>
  <si>
    <t>ค่าที่ดินและสิ่งก่อสร้าง  (เฉพาะกิจ )</t>
  </si>
  <si>
    <t>ค่าใชสอย</t>
  </si>
  <si>
    <t>เอดส์</t>
  </si>
  <si>
    <t>เบี้ยชรา</t>
  </si>
  <si>
    <t>เบี้ยพิการ</t>
  </si>
  <si>
    <t>567,700.-</t>
  </si>
  <si>
    <t>เงินฝากธนาคาร ออมสิน ประเภทออมทรัพย์ 20157574409</t>
  </si>
  <si>
    <t>ณ วันที่ 30 กันยายน 2559</t>
  </si>
  <si>
    <t>ตั้งแต่วันที่ 1  ตุลาคม  2558  ถึง  30  กันยายน  2559</t>
  </si>
  <si>
    <t>ณ วันที่ 29 กันยายน 2560</t>
  </si>
  <si>
    <t>บริหารงานทั่วไป</t>
  </si>
  <si>
    <t>บริหารงานทั่วไปเกี่ยวกับการศึกษา</t>
  </si>
  <si>
    <t>ค่าที่ดินและสิ่องก่อสร้าง</t>
  </si>
  <si>
    <t>ค่าก่อสร้างสื่งสาธารณูปโภค</t>
  </si>
  <si>
    <t>อุตสหกรรมและการโยธา</t>
  </si>
  <si>
    <t>โครงการก่อสร้างถนนคอนกรีตเสริมเหล็ก หมู่ 13 บ้านป่าคาเฉลิมฯ</t>
  </si>
  <si>
    <t>โครงการก่อสร้างถนนคอนกรีตเสริมเหล็ก หมู่ 15 บ้านคุ้มเกล้า</t>
  </si>
  <si>
    <t>โครงการก่อสร้างถนนคอนกรีตเสริมเหล็ก หมู่ 16 บ้านน้ำทรัพย์</t>
  </si>
  <si>
    <t>โครงการก่อสร้างถนนคอนกรีตเสริมเหล็ก หมู่ 4 บ้านทุ่งน้อย</t>
  </si>
  <si>
    <t>โครงการก่อสร้างถนนคอนกรีตเสริมเหล็ก หมู่ 5  บ้านน้อย</t>
  </si>
  <si>
    <t>โครงการก่อสร้างรั้วกั้นโรงจอดรถ อบต.คอกควาย</t>
  </si>
  <si>
    <t>โครงการก่อสร้างโรงจอดรถ อบต.คอกควาย</t>
  </si>
  <si>
    <t>โครงการปรับปรุงหอกระจายข่าว หมู่ 3 บ้านดง</t>
  </si>
  <si>
    <t>โครงการติดตั้งโคมไฟฟ้าสาธารณะหมู่บ้าน หมู่ 8 บ้านไร่ใหม่</t>
  </si>
  <si>
    <t>โครงการประเมินความพึ่งพอใจผู้รับบริการงาน</t>
  </si>
  <si>
    <t>บริการ อบต.คอกควาย</t>
  </si>
  <si>
    <t>ผู้ปฏิบัติราชการอันเป็นประโยชน์</t>
  </si>
  <si>
    <t>โครงการปรับปรุงห้องประชุมสภา อบต.คอกควาย</t>
  </si>
  <si>
    <t>โครงการก่อสร้างรั้ว ประตูที่ทำการ อบต.คอกควาย</t>
  </si>
  <si>
    <r>
      <t xml:space="preserve">ออกเป็น  </t>
    </r>
    <r>
      <rPr>
        <u val="single"/>
        <sz val="16"/>
        <color indexed="8"/>
        <rFont val="TH SarabunPSK"/>
        <family val="2"/>
      </rPr>
      <t>16</t>
    </r>
    <r>
      <rPr>
        <sz val="16"/>
        <color indexed="8"/>
        <rFont val="TH SarabunPSK"/>
        <family val="2"/>
      </rPr>
      <t xml:space="preserve">  หมู่บ้าน  มีประชากรทั้งสิ้น  จำนวน   </t>
    </r>
    <r>
      <rPr>
        <u val="single"/>
        <sz val="16"/>
        <color indexed="8"/>
        <rFont val="TH SarabunPSK"/>
        <family val="2"/>
      </rPr>
      <t>7,599</t>
    </r>
    <r>
      <rPr>
        <sz val="16"/>
        <color indexed="8"/>
        <rFont val="TH SarabunPSK"/>
        <family val="2"/>
      </rPr>
      <t xml:space="preserve">   คน  แบ่งเป็นชาย  </t>
    </r>
    <r>
      <rPr>
        <u val="single"/>
        <sz val="16"/>
        <color indexed="8"/>
        <rFont val="TH SarabunPSK"/>
        <family val="2"/>
      </rPr>
      <t>3,817</t>
    </r>
    <r>
      <rPr>
        <sz val="16"/>
        <color indexed="8"/>
        <rFont val="TH SarabunPSK"/>
        <family val="2"/>
      </rPr>
      <t xml:space="preserve">  คน  และหญิง  </t>
    </r>
    <r>
      <rPr>
        <u val="single"/>
        <sz val="16"/>
        <color indexed="8"/>
        <rFont val="TH SarabunPSK"/>
        <family val="2"/>
      </rPr>
      <t>3,782</t>
    </r>
    <r>
      <rPr>
        <sz val="16"/>
        <color indexed="8"/>
        <rFont val="TH SarabunPSK"/>
        <family val="2"/>
      </rPr>
      <t xml:space="preserve">  คน  </t>
    </r>
  </si>
  <si>
    <r>
      <t xml:space="preserve">จำนวนครัวเรือน  </t>
    </r>
    <r>
      <rPr>
        <u val="single"/>
        <sz val="16"/>
        <color indexed="8"/>
        <rFont val="TH SarabunPSK"/>
        <family val="2"/>
      </rPr>
      <t xml:space="preserve">2,838 </t>
    </r>
    <r>
      <rPr>
        <sz val="16"/>
        <color indexed="8"/>
        <rFont val="TH SarabunPSK"/>
        <family val="2"/>
      </rPr>
      <t xml:space="preserve"> ครัวเรือน (ข้อมูล ณ เดือน  29  เมษายน    ปี  2559 )</t>
    </r>
  </si>
  <si>
    <t xml:space="preserve">ค่าครุภัณฑ์   </t>
  </si>
  <si>
    <t xml:space="preserve">ค่าที่ดินและสิ่งก่อสร้าง  </t>
  </si>
  <si>
    <t>โครงการติดตั้งเสียงตามสายในหมู่บ้าน หมู่ 14 บ้านเจดีย์</t>
  </si>
  <si>
    <t>โครงการติดตั้งหอกระจายข่าว หมู่ 6 บ้านใหม่</t>
  </si>
  <si>
    <t>โครงการก่อสร้างรั้วรอบศาลาประชาคม หมู่ 7 บ้านห้วยคต</t>
  </si>
  <si>
    <t xml:space="preserve">ลูกหนี้เงินยืม   </t>
  </si>
  <si>
    <t>ก่อสร้างอาคารอเนกประสงค์ บริเวณหน้าศูนย์</t>
  </si>
  <si>
    <t>การเรียนรู้องค์การบริหารส่วนตำบลคอกควาย</t>
  </si>
  <si>
    <t>ธนาคารน้ำใต้ดิน</t>
  </si>
  <si>
    <t>บริหารทั่วไป</t>
  </si>
  <si>
    <t>เงินสะสม  1  ตุลาคม  2560     (เงินสะสมต้นปี)</t>
  </si>
  <si>
    <t>เงินสะสม  ณ  28  กันยายน  2561   (เงินสะสมปลายปี)</t>
  </si>
  <si>
    <t>เงินรับฝากอื่น ๆ (สปสช.)</t>
  </si>
  <si>
    <t>สำหรับปี สิ้นสุดวันที่  28  กันยายน  2561</t>
  </si>
  <si>
    <t xml:space="preserve">              ในงวดปีงบประมาณ  2561  องค์การบริหารส่วนตำบลคอกควาย  มีรายรับจริง จำนวน  42,796,766.80  บาท</t>
  </si>
  <si>
    <r>
      <t>เงินอุดหนุนทั่วไป  จำนวน  22,318,297.-</t>
    </r>
    <r>
      <rPr>
        <u val="single"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บาท  และเงินอุดหนุนเฉพาะกิจ/ระบุวัตถุประสงค์  จำนวน  319,288.-บาท</t>
    </r>
  </si>
  <si>
    <r>
      <t>ประกอบด้วย  รายได้จัดเก็บเอง  จำนวน   801,714.79</t>
    </r>
    <r>
      <rPr>
        <sz val="16"/>
        <rFont val="TH SarabunPSK"/>
        <family val="2"/>
      </rPr>
      <t xml:space="preserve">  บาท   รายได้ที่ได้รับจัดสรร  จำนวน  </t>
    </r>
    <r>
      <rPr>
        <u val="single"/>
        <sz val="16"/>
        <rFont val="TH SarabunPSK"/>
        <family val="2"/>
      </rPr>
      <t>19,357,467.01</t>
    </r>
    <r>
      <rPr>
        <sz val="16"/>
        <rFont val="TH SarabunPSK"/>
        <family val="2"/>
      </rPr>
      <t xml:space="preserve"> บาท</t>
    </r>
  </si>
  <si>
    <t>จำนวน  3,871,020.- บาท</t>
  </si>
  <si>
    <t>รายจ่ายจริง  จำนวน  32,776,538.55  บาท ประกอบด้วย รายจ่ายประจำ  จำนวน  28,905,518.55  บาท  และงบลงทุน</t>
  </si>
  <si>
    <t xml:space="preserve">              ข้าราชการส่วนท้องถิ่น                                    จำนวน   14   คน</t>
  </si>
  <si>
    <t xml:space="preserve">              พนักงานจ้างตามภารกิจ                                  จำนวน     7   คน</t>
  </si>
  <si>
    <t xml:space="preserve">              พนักงานจ้างเหมา                                          จำนวน   5   คน</t>
  </si>
  <si>
    <t xml:space="preserve">              พนักงานจ้างทั่วไป                                          จำนวน   4   คน</t>
  </si>
  <si>
    <t xml:space="preserve">                                                                                     30   คน</t>
  </si>
  <si>
    <t>รายได้จากรัฐบาลค้างรับ /จังหวัดค้างรับ</t>
  </si>
  <si>
    <t>พัดลมติดผนัง จำนวน 8 ตัว</t>
  </si>
  <si>
    <t>การรักษาความสงบภายใน</t>
  </si>
  <si>
    <t>ป้องกันภัยฝ่ายพลเรือนและระงับอัคคีภัย</t>
  </si>
  <si>
    <t>วิทยุสื่อสาร จำนวน 10 เครื่อง</t>
  </si>
  <si>
    <t>ครุภัณฑ์อื่น</t>
  </si>
  <si>
    <t>ป้ายไฟจราจรสามเหลี่ยม แบบมีล้อเลื่อน ไฟบน</t>
  </si>
  <si>
    <t>เครื่องปรับอากาศ พร้อมติดตั้ง ศพด. 4 ศูนย์</t>
  </si>
  <si>
    <t>สาธารณสุข</t>
  </si>
  <si>
    <t>บริการสาธารณสุขและสาธารณสุขอื่น</t>
  </si>
  <si>
    <t>ค่าบำรุงรักษาและปรับปรุงครุภัณฑ์</t>
  </si>
  <si>
    <t>ซ่อมแซมห้องน้ำสาธารณะ</t>
  </si>
  <si>
    <t>เคหะและชุมชน</t>
  </si>
  <si>
    <t>บริหารงานทั่วไปเกี่ยวกับเคหะและชุมชน</t>
  </si>
  <si>
    <t>ค่าครุภัณฑ์โรงงาน</t>
  </si>
  <si>
    <t>เลื่อยตัดไม้ ขนาด 12 นิ้ว จำนวน 1 เครื่อง</t>
  </si>
  <si>
    <t>ค่าครุภัณฑ์สำรวจ</t>
  </si>
  <si>
    <t>ล้อวัดระยะทาง จำนวน 1 อัน</t>
  </si>
  <si>
    <t>โครงการติดตั้งระบบไฟฟ้า พร้อมอุปกรณ์ ศพด.</t>
  </si>
  <si>
    <t>การศาสนาวัฒนธรรมและนันทนาการ</t>
  </si>
  <si>
    <t>งานกีฬาและนันทนาการ</t>
  </si>
  <si>
    <t>เครื่องออกกำลังกายกลางแจ้ง สำหรับหมู่บ้าน 1-16 ศพด. 4 ศูนย์</t>
  </si>
  <si>
    <t>การวางแผนและส่งเสริมการท่องเที่ยว</t>
  </si>
  <si>
    <t>โครงการติดตั้งป้ายประชาสัมพันธ์การท่องเที่ยว</t>
  </si>
  <si>
    <t>เงินเดือนข้าราชการครู ค่าตอบแทน เงินเพิ่ม</t>
  </si>
  <si>
    <t>ค่าครองชีพชั่วคราว ประกันสังคม</t>
  </si>
  <si>
    <t>โครงการก่อสร้างถนนคอนกรีตเสริมเหล็ก หมู่ 1 บ้านน้ำพุ</t>
  </si>
  <si>
    <t>โครงการก่อสร้างถนนคอนกรีตเสริมเหล็ก หมู่ 10 บ้านห้วยลึก</t>
  </si>
  <si>
    <t>โครงการก่อสร้างถนนคอนกรีตเสริมเหล็ก หมู่ 11 บ้านปางสวรรค์</t>
  </si>
  <si>
    <r>
      <t>หัก</t>
    </r>
    <r>
      <rPr>
        <b/>
        <sz val="12"/>
        <rFont val="TH SarabunPSK"/>
        <family val="2"/>
      </rPr>
      <t xml:space="preserve">    </t>
    </r>
    <r>
      <rPr>
        <sz val="12"/>
        <rFont val="TH SarabunPSK"/>
        <family val="2"/>
      </rPr>
      <t>25% ของรายรับจริงสูงกว่ารายจ่ายจริง (เงินทุนสำรองเงินสะสม)</t>
    </r>
  </si>
  <si>
    <t xml:space="preserve">  ( นางศุภรัตน์    กรัณย์เมธากุล)</t>
  </si>
  <si>
    <t xml:space="preserve">     ( นายประพันธ์  ธํญญเจริญ)</t>
  </si>
  <si>
    <t xml:space="preserve">       ผู้อำนวยการกองคลัง                           ปลัดองค์การบริหารส่วนตำบลคอกควาย    นายกองค์การบริหารส่วนตำบลคอกควาย</t>
  </si>
  <si>
    <t>คำอธิบาย</t>
  </si>
  <si>
    <t>2. ทรัพย์สินที่ได้มาจากแหล่งเงินกู้ ให้แสดงทรัพย์สินทุกประเภท</t>
  </si>
  <si>
    <t>1.1 อาคาร</t>
  </si>
  <si>
    <t>1.2 ประปา</t>
  </si>
  <si>
    <t>1.3 ถังเก็บน้ำรูปทรงแชมเปญ</t>
  </si>
  <si>
    <t>1.4 ระบบสูบจ่ายน้ำบาดาล</t>
  </si>
  <si>
    <t>1.5 หอกระจายข่าวประจำหมู่บ้านชุมชน</t>
  </si>
  <si>
    <t>1.6 หอถังผลิตน้ำประปาหมู่บ้าน</t>
  </si>
  <si>
    <t>1.7 ระบบประปาหมู่บ้านแบบประปาผิวดินขนาด</t>
  </si>
  <si>
    <t xml:space="preserve">    ใหญ่ หมู่ 7 และ หมู่ 11</t>
  </si>
  <si>
    <t>1.8 ปรับพื้นที่ป่าช้ากระเหรี่ยวพร้อมก่อสร้างบ้านฯ</t>
  </si>
  <si>
    <t>1.9 ประเภททั่วไป</t>
  </si>
  <si>
    <t>1.10 ที่จอดรถของ อบต.คอกควาย</t>
  </si>
  <si>
    <t>2.1 ครุภัณฑ์สำนักงาน</t>
  </si>
  <si>
    <t>2.2 ครุภัณฑ์คอมพิวเตอร์</t>
  </si>
  <si>
    <t>2.3 ครุภัณฑ์ไฟฟ้าและวิทยุ</t>
  </si>
  <si>
    <t>2.4 ครุภัณฑ์ยานพาหนะและขนส่ง</t>
  </si>
  <si>
    <t>2.5 ครุภัณฑ์โฆษณาและเผยแพร่</t>
  </si>
  <si>
    <t>2.6 ครุภัณฑ์งานบ้านงานครัว</t>
  </si>
  <si>
    <t>2.7 ครุภัณฑ์การเกษตร</t>
  </si>
  <si>
    <t>2.8 ครุภัณฑ์ดนตรีและนาฏศิลป์</t>
  </si>
  <si>
    <t>2.9 ครุภัณฑ์ก่อสร้าง</t>
  </si>
  <si>
    <t>2.10 ครุภัณฑ์ดับเพลิง</t>
  </si>
  <si>
    <t>2.11 ครุภัณฑ์ต็นท์</t>
  </si>
  <si>
    <t>2.12 ครุภัณฑ์อื่น ๆ  (เครื่องเล่นเด็ก)</t>
  </si>
  <si>
    <t>2.13 ครุภัณฑ์สำรวจ</t>
  </si>
  <si>
    <t>2.14 ครุภัณฑ์วิทยาศาสตร์และการแพทย์</t>
  </si>
  <si>
    <t>2.16 ครุภัณฑ์โรงงาน</t>
  </si>
  <si>
    <t>2.15 ครุภัณฑ์กีฬา</t>
  </si>
  <si>
    <t>หมายเหตุ 4  ลูกหนี้เงินยืม</t>
  </si>
  <si>
    <t>ชื่อ - สกุล ผู้ยืม</t>
  </si>
  <si>
    <t>โครงการที่ยืม</t>
  </si>
  <si>
    <t>นายบวรนันท์  ชำนินา</t>
  </si>
  <si>
    <t>กลุ่มเกษตรพอเพียง หมู่ 11</t>
  </si>
  <si>
    <t>นายวิเชียร์  สุวรรณศิริ</t>
  </si>
  <si>
    <t>กลุ่มเกษตรกรบ้านทองหลาง หมู่ 2</t>
  </si>
  <si>
    <t>นายพิฒวัตร์  หมั่นการไร่</t>
  </si>
  <si>
    <t>กลุ่มเกษตรกรบ้านน้อย หมู่ 5</t>
  </si>
  <si>
    <t>นายจำนอง  หะชะยัง</t>
  </si>
  <si>
    <t>กลุ่มผู้ปลูกสับปะรด หมู่ 8</t>
  </si>
  <si>
    <t>นายภิชน  นันใจจุ่มปา</t>
  </si>
  <si>
    <t>กลุ่มข้าวโพด หมู่ 6</t>
  </si>
  <si>
    <t>นายวิโรจน์  นิลบรรหาร</t>
  </si>
  <si>
    <t>กลุ่มผู้ปลูกข้าวโพด หมู่ 3</t>
  </si>
  <si>
    <t>นายศิริ  กระแหน่</t>
  </si>
  <si>
    <t>กลุ่มผู้ปลูกสับปะรด หมู่ 14</t>
  </si>
  <si>
    <t>นายประทีป  สุพรรณ์</t>
  </si>
  <si>
    <t>กลุ่มผู้ปลูกสับประรด หมู่ 9</t>
  </si>
  <si>
    <t>นางอุทัย  สืบสัมมา</t>
  </si>
  <si>
    <t>กลุ่มวิสาหกิจชุมชนกลุ่มสตรีเลี้ยงหมูหลุม หมู่ 5</t>
  </si>
  <si>
    <t>นายมณฑล  กลิ้งกลม</t>
  </si>
  <si>
    <t>นายยวน  โพธิ์ศรี</t>
  </si>
  <si>
    <t xml:space="preserve">            ( นายจำนงค์   แก้วพะเนียง)</t>
  </si>
  <si>
    <t>ปี 2561</t>
  </si>
  <si>
    <t>ปี 2560</t>
  </si>
  <si>
    <t>ลูกหนี้รายได้อื่น ๆ (นายมงคล ยืนยง)</t>
  </si>
  <si>
    <t>หมายเหตุประกอบงบแสดงฐานะการเงินเป็นส่วนหนึ่งของงบการเงินนี้</t>
  </si>
  <si>
    <t>ลูกหนี้เงินสะสม</t>
  </si>
  <si>
    <t>เจ้าหนี้เงินสะสม</t>
  </si>
  <si>
    <t>ปี  2561</t>
  </si>
  <si>
    <t>นายอลงกรณ์   อบอาย</t>
  </si>
  <si>
    <t>เงินงบประมาณ</t>
  </si>
  <si>
    <t>เดินทางไปราชการ</t>
  </si>
  <si>
    <t>รวมทั้งสิน</t>
  </si>
  <si>
    <t>หมายเหตุ 5  รายได้จากรัฐบาลค้างรับ</t>
  </si>
  <si>
    <t>เงินเดือน (ฝ่ายประจำ)ครู ศพด</t>
  </si>
  <si>
    <t>เงินประกันสังคม (ครู ศพด.)</t>
  </si>
  <si>
    <t>หมายเหตุ 6  ลูกหนี้เงินทุนโครงการเศรษฐกิจชุมชน</t>
  </si>
  <si>
    <t>นายมงคล   ยืนยง (กรณีล้มละลาย)</t>
  </si>
  <si>
    <t>หมายเหตุ 8  รายจ่ายค้างจ่าย</t>
  </si>
  <si>
    <t>หมายเหตุ 8   รายจ่ายค้างจ่าย</t>
  </si>
  <si>
    <t>หมายเหตุ 9  เงินรับฝาก</t>
  </si>
  <si>
    <t>หมายเหตุ 10    เงินสะสม</t>
  </si>
  <si>
    <t>2. ลูกหนี้เงินยืม</t>
  </si>
  <si>
    <t>3. เงินสะสมที่สามารถนำไปใช้ได้</t>
  </si>
  <si>
    <t>และจะเบิกจ่ายในปีงบประมาณต่อไป  ตามรายละเอียดแนบท้ายหมายเหตุ   10</t>
  </si>
  <si>
    <t>ปี  2560</t>
  </si>
  <si>
    <t>หมายเหตุ 8    รายจ่ายค้างจ่าย</t>
  </si>
  <si>
    <t>รวมรายจ่าย</t>
  </si>
  <si>
    <t>โครงการจัดซื้อเครื่องดึงไฟชนิดออโตเมตริกซ์ หมู่ 8</t>
  </si>
  <si>
    <t>เงินอุดหนุนส่วนราชการ</t>
  </si>
  <si>
    <t>งานก่อสร้างขยายเขตระบบจำหน่ายไฟ</t>
  </si>
  <si>
    <t>ป้องกันฝ่ายพลเรือนและระงับอัคคีภัย</t>
  </si>
  <si>
    <t>วัสดุเครื่องดับเพลิง</t>
  </si>
  <si>
    <t>วัสดุเครื่องดับเพลิง เช่น สายส่งน้ำ สายดูดน้ำ อุปกรณ์</t>
  </si>
  <si>
    <t>ต่าง ๆ ที่เกี่ยวข้องกับการดับเพลิง</t>
  </si>
  <si>
    <t>รายละเอียดแนบท้ายหมายเหตุ 10  เงินสะสม</t>
  </si>
  <si>
    <t>หมายเหตุ 7  ลูกหนี้อื่นๆ</t>
  </si>
  <si>
    <t>โครงการถังผลิตน้ำประปาบาดาล หมู่ 16 บ้านน้ำทรัพย์</t>
  </si>
  <si>
    <t>โครงการขุดเจาะบ่อบาดาล หมู่ 8 บ้านไร่ใหม่</t>
  </si>
  <si>
    <t>โครงการก่อสร้างหอถังประปาบาดาลหมู่ 8 บ้านไร่ใหม่</t>
  </si>
  <si>
    <t>โครงการเทลาดไหล่ทางถนนลาดยาง หมู่ 11 บ้านปางสวรรค์</t>
  </si>
  <si>
    <t>โครงการขยายเขตประปาหมู่บ้านหมู่ที่ 13 บ้านป่าคาเฉลิม</t>
  </si>
  <si>
    <t>พระเกียรติ</t>
  </si>
  <si>
    <t>โครงการเปลี่ยนท่อเมนประปา หมู่ 14 บ้านเจดีย์</t>
  </si>
  <si>
    <t>โครงการก่อสร้างถนนคอนกรีตเสริมเหล็กหมู่ที่ 10 บ้านห้วยลึก</t>
  </si>
  <si>
    <t>โครงการเปลี่ยนท่อเมนประปา หมู่ 12 บ้านน้ำดี</t>
  </si>
  <si>
    <t>โครงการก่อสร้างลานตากผลผลิต ทางการเกษตร หมู่ 3 บ้านดง</t>
  </si>
  <si>
    <t>โครงการถังผลิตน้ำประปา หมู่ 12 บ้านน้ำดี</t>
  </si>
  <si>
    <t>12 ลบ.ม. หมู่ 9</t>
  </si>
  <si>
    <t xml:space="preserve">โครงการก่อสร้างถังปรปาพร้อมวางท่อเมนประปาขนาดความจุ </t>
  </si>
  <si>
    <t>โครงการก่อสร้างถนนคอนกรีตเสริมเหล็กหมู่ 16 บ้านน้ำทรัพย์</t>
  </si>
  <si>
    <t>โครงการวางท่อระบายน้ำกลางหมู่บ้าน ม.5 บ้านน้อย</t>
  </si>
  <si>
    <t>โครงการก่อสร้างถนน คสล.และขยายไหล่ทาง คสล.8โครงการ</t>
  </si>
  <si>
    <t>โครงการก่อสร้างถนนลาดยาง หมู่ 11 บ้านปางสวรรค์</t>
  </si>
  <si>
    <t>โครงการปรับปรุงศาลาประชาคม หมู่ 15 บ้านคุ้มเกล้า</t>
  </si>
  <si>
    <t>โครงการขุดบ่อบาดาลพร้อมปรับปรุงระบบประปาบาดาล หมู่ 15</t>
  </si>
  <si>
    <t>โครงการซ่อมแซมถนนลูกรัง จำนวน 16 หมู่</t>
  </si>
  <si>
    <t>โครงการซ่อมแซมถนนลูกรัง หมู่ 1 บ้านน้ำพุ</t>
  </si>
  <si>
    <t>โครงการก่อสร้างถนนคอนกรีต หมู่ 2 และ หมู่ 16</t>
  </si>
  <si>
    <t>โครงการก่อสร้างถนน คสล.และขยายไหล่ทาง คสล.8 โครงการ</t>
  </si>
  <si>
    <t>โครงการก่อสร้างหอถังประปาบาดาล หมู่ 16 บ้านน้ำทรัพย์</t>
  </si>
  <si>
    <t>โครงการขุดเจาบ่อบาดาล หมู่ 8 บ้านไร่ใหม่</t>
  </si>
  <si>
    <t>โครงการก่อสร้างหอถังประปาบาดาล หมู่ 8 บ้านไร่ใหม่</t>
  </si>
  <si>
    <t>โครงการขยายเขตประปาหมู่บ้าน หมู่ 13 บ้านป่าคาเฉลิม</t>
  </si>
  <si>
    <t>โครงการเปลี่ยนท่อเมนประปาหมู่ที่ 12 บ้านน้ำดี</t>
  </si>
  <si>
    <t>โครงการก่อสร้างลานตากผลผลิตทางการเกษตร หมู่ 3 บ้านดง</t>
  </si>
  <si>
    <t>โครงการก่อสร้างถังประปาพร้อมวางท่อเมนประปาขนาดความ</t>
  </si>
  <si>
    <t>จุ 12 ลบ.ม.หมู่ 9</t>
  </si>
  <si>
    <t>โครงการก่อสร้างถนน คสล.และขยายไหล่ทาง คสล. 8 โครงการ</t>
  </si>
  <si>
    <t>โครงการก่อสร้างถนนลาดนาง หมู่ 11 บ้านปางสวรรค์</t>
  </si>
  <si>
    <t xml:space="preserve">ปรับปรุงระหว่างปี </t>
  </si>
  <si>
    <t>1. ลูกหนี้อื่น ๆ</t>
  </si>
  <si>
    <t>รายงานรายจ่ายในการดำเนินงานที่จ่ายจากเงินรายรับตามแผนงาน  การรักษาความสงบภายใน</t>
  </si>
  <si>
    <t>รายงานรายจ่ายในการดำเนินงานที่จ่ายจากเงินรายรับตามแผนงาน  บริหารงานทั่วไป</t>
  </si>
  <si>
    <t>รายงานรายจ่ายในการดำเนินงานที่จ่ายจากเงินรายรับตามแผนงาน  งบกลาง</t>
  </si>
  <si>
    <t>รายงานรายจ่ายในการดำเนินงานที่จ่ายจากเงินรายรับตามแผนงาน  การศึกษา</t>
  </si>
  <si>
    <t>รายงานรายจ่ายในการดำเนินงานที่จ่ายจากเงินรายรับตามแผนงาน  สาธารณสุข</t>
  </si>
  <si>
    <t>งบดำเนินงาน</t>
  </si>
  <si>
    <t>รายงานรายจ่ายในการดำเนินงานที่จ่ายจากเงินรายรับตามแผนงาน  สังคมสงเคราะห์</t>
  </si>
  <si>
    <t>รายงานรายจ่ายในการดำเนินงานที่จ่ายจากเงินรายรับตามแผนงาน  เคหะและชุมชน</t>
  </si>
  <si>
    <t>รายงานรายจ่ายในการดำเนินงานที่จ่ายจากเงินรายรับตามแผนงาน สร้างความเข้มแข็งของชุมชน</t>
  </si>
  <si>
    <t>รายงานรายจ่ายในการดำเนินงานที่จ่ายจากเงินรายรับตามแผนงาน  อุตสาหกรรมและการโยธา</t>
  </si>
  <si>
    <t>รายงานรายจ่ายในการดำเนินงานที่จ่ายจากเงินรายรับตามแผนงาน  การเกษตร</t>
  </si>
  <si>
    <t>รายงานรายจ่ายในการดำเนินงานที่จ่ายจากเงินรายรับตามแผนงาน  การศาสนาวัฒนธรรมและนันทนาการ</t>
  </si>
  <si>
    <t>ตั้งแต่วันที่  1  ตุลาคม  2560  ถึง  กันยายน  2561</t>
  </si>
  <si>
    <t>ครุภัณฑ์</t>
  </si>
  <si>
    <t>ณ วันที่ 30 กันยายน 2561</t>
  </si>
  <si>
    <t>สำหรับปี สิ้นสุดวันที่ 30  กันยายน  2561</t>
  </si>
  <si>
    <t>สำหรับปี สิ้นสุดวันที่      30      กันยายน  2561</t>
  </si>
  <si>
    <t>สำหรับปี  สิ้นสุดวันที่  30  กันยายน  2561</t>
  </si>
  <si>
    <t>-</t>
  </si>
  <si>
    <t>ปี 2560 (ต่อ)</t>
  </si>
  <si>
    <t>เงินสะสม  ณ  30  กันยายน 2561  ประกอบด้วย</t>
  </si>
  <si>
    <t>ทั้งนี้   ได้รับอนุมัติให้จ่ายเงินสะสมที่อยู่ระหว่างดำเนินการจำนวน</t>
  </si>
  <si>
    <t>สำหรับปี สิ้นสุดวันที่  30  กันยายน  2561</t>
  </si>
  <si>
    <t>สำหรับปี สิ้นสุดวันที่  30  กันยายน   2561</t>
  </si>
  <si>
    <t>ตั้งแต่วันที่  1  ตุลาคม  2560  ถึง 30   กันยายน  2561</t>
  </si>
  <si>
    <t>รายการ/หมวด</t>
  </si>
  <si>
    <t>รวมจ่ายจาก
เงินงบ
ประมาณ</t>
  </si>
  <si>
    <t>รายจ่ายจาก
เงินอุดหนุนระบุ
วัตถุประสงค์   เฉพาะกิจ</t>
  </si>
  <si>
    <t>(นางศุภรัตน์   กรัณย์เมธากุล )</t>
  </si>
  <si>
    <t xml:space="preserve">   ผู้อำนวยการกองคลัง</t>
  </si>
  <si>
    <t>ปลัดองค์การบริหารส่วนตำบลคอกควาย</t>
  </si>
  <si>
    <t>นายกองค์การบริหารส่วนตำบลคอกควาย</t>
  </si>
  <si>
    <t>หมายเหตุ ในกรณีมีใบผ่านรายการบัญชีทั่วไปที่ปรับปรุงลดยอดรายจ่าย ให้เพิ่มช่อง "ใบผ่ายรายการบัญชีทั่วไป" หลังช่อง "รายจ่ายจากเงินงบประมาณ"เพื่อแสดงผลการดำเนินงานที่ถูกต้อง</t>
  </si>
  <si>
    <t>( นางศุภรัตน์    กรัณย์เมธากุล )</t>
  </si>
  <si>
    <t xml:space="preserve">     ผู้อำนวยการกองคลัง</t>
  </si>
  <si>
    <t xml:space="preserve">        ( นายประพันธ์   ธัญญเจริญ )</t>
  </si>
  <si>
    <t xml:space="preserve">          (นายจำนงค์   แก้วพะเนียง)</t>
  </si>
  <si>
    <t>จากเงินอุดหนุน
ระบุวัตถุประสงค์
/เฉพาะกิจ
ของชุมชน</t>
  </si>
  <si>
    <t xml:space="preserve">    นายกองค์การบริหารส่วนตำบลคอกควาย</t>
  </si>
  <si>
    <t xml:space="preserve">           (  นายจำนงค์   แก้วพะเนียง  ) </t>
  </si>
  <si>
    <t>รวมจ่าย
จากเงิน
สะสม</t>
  </si>
  <si>
    <t xml:space="preserve">ค่าที่ดินและสิ่งก่อสร้าง (หมายเหตุ2)  </t>
  </si>
  <si>
    <t xml:space="preserve">        ( นายประพันธ์  ธัญญเจริญ )</t>
  </si>
  <si>
    <t>รายจ่ายจาก
เงินงบประมาณ</t>
  </si>
  <si>
    <t>ยกเว้นทรัพย์สินที่จัดให้เพื่อเป็นให้บริการ สาธรณณะ เช่น ถนน สะพาน ลานกีฬา เป็นต้น</t>
  </si>
  <si>
    <t xml:space="preserve">กรรมสิทธิ์ขององค์กรปกครองส่วนท้องถิ่นและองค์กรปกครองส่วนท้องถิ่นใช้ประโยชน์โดยตรง รวมทั้งทรัพย์สินที่ให้ยืมหรือเช่า </t>
  </si>
  <si>
    <t>1.ทรัพย์สินที่ได้มาจากรายได้ เงินสะสม เงินทุนสำรองเงินสะสม เงินที่มีผู้อุทิศให้ และเงินอื่นใดยกเว้นเงินกู้ ให้แสดงทรัพย์สินที่เป็น</t>
  </si>
  <si>
    <t>รายละเอียดแนบท้ายหมายเหตุ 10  เงินสะสม (ต่อ)</t>
  </si>
  <si>
    <t>ตั้งแต่วันที่  1  ตุลาคม  2560      ถึง 30   กันยายน  2561</t>
  </si>
  <si>
    <t>ตั้งแต่วันที่  1  ตุลาคม  2560  ถึง 30    กันยายน  2561</t>
  </si>
  <si>
    <t xml:space="preserve">รายงานรายจ่ายในการดำเนินงานที่จ่ายจากเงินสะสม </t>
  </si>
  <si>
    <t>ตั้งแต่วันที่ 1  ตุลาคม  2560  ถึง  30  กันยายน  2561</t>
  </si>
  <si>
    <t>สำหรับปี สิ้นสุดวันที่   30 กันยายน  2561</t>
  </si>
  <si>
    <t>รายงานรายจ่ายในการดำเนินงานที่จ่ายจากเงินรายรับตามแผนงานรวม</t>
  </si>
  <si>
    <t>งลกลาง</t>
  </si>
  <si>
    <t>รายละเอียดการปรับปรุงเงินสะสม</t>
  </si>
  <si>
    <t>ลำดับที่</t>
  </si>
  <si>
    <t>รับเงินดอกเบี้ยซ้ำ ธนาคารกรุงไทย บัญชี 619-2-27062-7</t>
  </si>
  <si>
    <t>รายได้จากรัฐบาลค้างรับ</t>
  </si>
  <si>
    <r>
      <rPr>
        <u val="single"/>
        <sz val="16"/>
        <color indexed="10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ได้ยกเลิกเช็ค</t>
    </r>
  </si>
  <si>
    <t>เบิกเงินคืนให้กับกองทุนต้นแบบตำบลคอกควาย</t>
  </si>
  <si>
    <t>สำหรับปี  สิ้นสุดวันที่   30  กันยายน  2561</t>
  </si>
  <si>
    <t>หัก  ยกเลิกเช็ค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</si>
</sst>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);\(#,##0.00\)"/>
  </numFmts>
  <fonts count="10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name val="TH SarabunPSK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u val="single"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 val="single"/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6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5"/>
      <color indexed="8"/>
      <name val="TH SarabunPSK"/>
      <family val="2"/>
    </font>
    <font>
      <b/>
      <u val="single"/>
      <sz val="15"/>
      <color indexed="8"/>
      <name val="TH SarabunPSK"/>
      <family val="2"/>
    </font>
    <font>
      <sz val="16"/>
      <color indexed="10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10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20"/>
      <color indexed="8"/>
      <name val="TH SarabunPSK"/>
      <family val="2"/>
    </font>
    <font>
      <b/>
      <u val="single"/>
      <sz val="15"/>
      <color indexed="10"/>
      <name val="TH SarabunPSK"/>
      <family val="2"/>
    </font>
    <font>
      <b/>
      <sz val="15"/>
      <color indexed="10"/>
      <name val="TH SarabunPSK"/>
      <family val="2"/>
    </font>
    <font>
      <b/>
      <u val="single"/>
      <sz val="15"/>
      <color indexed="30"/>
      <name val="TH SarabunPSK"/>
      <family val="2"/>
    </font>
    <font>
      <b/>
      <sz val="15"/>
      <color indexed="30"/>
      <name val="TH SarabunPSK"/>
      <family val="2"/>
    </font>
    <font>
      <sz val="13"/>
      <color indexed="8"/>
      <name val="TH SarabunPSK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10"/>
      <color indexed="8"/>
      <name val="TH SarabunPSK"/>
      <family val="2"/>
    </font>
    <font>
      <sz val="9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b/>
      <sz val="10"/>
      <color indexed="8"/>
      <name val="TH SarabunPSK"/>
      <family val="2"/>
    </font>
    <font>
      <sz val="48"/>
      <color indexed="10"/>
      <name val="Tahoma"/>
      <family val="0"/>
    </font>
    <font>
      <b/>
      <sz val="8"/>
      <color indexed="10"/>
      <name val="Arial Unicode MS"/>
      <family val="0"/>
    </font>
    <font>
      <sz val="8"/>
      <color indexed="10"/>
      <name val="Arial Unicode M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u val="single"/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u val="single"/>
      <sz val="15"/>
      <color theme="1"/>
      <name val="TH SarabunPSK"/>
      <family val="2"/>
    </font>
    <font>
      <u val="single"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8"/>
      <color rgb="FFFF0000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20"/>
      <color theme="1"/>
      <name val="TH SarabunPSK"/>
      <family val="2"/>
    </font>
    <font>
      <b/>
      <u val="single"/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b/>
      <u val="single"/>
      <sz val="15"/>
      <color rgb="FF0070C0"/>
      <name val="TH SarabunPSK"/>
      <family val="2"/>
    </font>
    <font>
      <b/>
      <sz val="15"/>
      <color rgb="FF0070C0"/>
      <name val="TH SarabunPSK"/>
      <family val="2"/>
    </font>
    <font>
      <sz val="13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TH SarabunPSK"/>
      <family val="2"/>
    </font>
    <font>
      <sz val="9"/>
      <color theme="1"/>
      <name val="TH SarabunPSK"/>
      <family val="2"/>
    </font>
    <font>
      <b/>
      <sz val="12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u val="single"/>
      <sz val="12"/>
      <color theme="1"/>
      <name val="TH SarabunPSK"/>
      <family val="2"/>
    </font>
    <font>
      <b/>
      <sz val="10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ck"/>
      <bottom style="double"/>
    </border>
    <border>
      <left/>
      <right/>
      <top/>
      <bottom style="thick"/>
    </border>
    <border>
      <left/>
      <right/>
      <top style="thick"/>
      <bottom style="thick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2" applyNumberFormat="0" applyAlignment="0" applyProtection="0"/>
    <xf numFmtId="0" fontId="70" fillId="0" borderId="3" applyNumberFormat="0" applyFill="0" applyAlignment="0" applyProtection="0"/>
    <xf numFmtId="0" fontId="71" fillId="22" borderId="0" applyNumberFormat="0" applyBorder="0" applyAlignment="0" applyProtection="0"/>
    <xf numFmtId="0" fontId="72" fillId="23" borderId="1" applyNumberFormat="0" applyAlignment="0" applyProtection="0"/>
    <xf numFmtId="0" fontId="73" fillId="24" borderId="0" applyNumberFormat="0" applyBorder="0" applyAlignment="0" applyProtection="0"/>
    <xf numFmtId="0" fontId="74" fillId="0" borderId="4" applyNumberFormat="0" applyFill="0" applyAlignment="0" applyProtection="0"/>
    <xf numFmtId="0" fontId="75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76" fillId="20" borderId="5" applyNumberFormat="0" applyAlignment="0" applyProtection="0"/>
    <xf numFmtId="0" fontId="0" fillId="32" borderId="6" applyNumberFormat="0" applyFon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450"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43" fontId="81" fillId="0" borderId="0" xfId="33" applyFont="1" applyBorder="1" applyAlignment="1">
      <alignment vertical="center"/>
    </xf>
    <xf numFmtId="43" fontId="82" fillId="0" borderId="0" xfId="33" applyFont="1" applyFill="1" applyBorder="1" applyAlignment="1">
      <alignment vertical="center"/>
    </xf>
    <xf numFmtId="0" fontId="81" fillId="0" borderId="0" xfId="0" applyFont="1" applyAlignment="1">
      <alignment/>
    </xf>
    <xf numFmtId="0" fontId="82" fillId="0" borderId="0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8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43" fontId="81" fillId="0" borderId="11" xfId="33" applyFont="1" applyBorder="1" applyAlignment="1">
      <alignment vertical="center"/>
    </xf>
    <xf numFmtId="0" fontId="81" fillId="0" borderId="0" xfId="0" applyFont="1" applyBorder="1" applyAlignment="1">
      <alignment/>
    </xf>
    <xf numFmtId="0" fontId="83" fillId="0" borderId="0" xfId="0" applyFont="1" applyFill="1" applyBorder="1" applyAlignment="1" applyProtection="1">
      <alignment horizontal="center" vertical="center"/>
      <protection/>
    </xf>
    <xf numFmtId="43" fontId="81" fillId="0" borderId="12" xfId="33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43" fontId="81" fillId="0" borderId="13" xfId="33" applyFont="1" applyBorder="1" applyAlignment="1">
      <alignment vertical="center"/>
    </xf>
    <xf numFmtId="0" fontId="81" fillId="0" borderId="0" xfId="0" applyFont="1" applyAlignment="1">
      <alignment horizontal="center"/>
    </xf>
    <xf numFmtId="43" fontId="81" fillId="0" borderId="0" xfId="33" applyFont="1" applyAlignment="1">
      <alignment/>
    </xf>
    <xf numFmtId="43" fontId="81" fillId="0" borderId="13" xfId="33" applyFont="1" applyBorder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2" fillId="0" borderId="10" xfId="0" applyFont="1" applyBorder="1" applyAlignment="1">
      <alignment horizontal="center"/>
    </xf>
    <xf numFmtId="0" fontId="81" fillId="0" borderId="14" xfId="0" applyFont="1" applyBorder="1" applyAlignment="1">
      <alignment/>
    </xf>
    <xf numFmtId="0" fontId="81" fillId="0" borderId="15" xfId="0" applyFont="1" applyBorder="1" applyAlignment="1">
      <alignment/>
    </xf>
    <xf numFmtId="0" fontId="81" fillId="0" borderId="16" xfId="0" applyFont="1" applyBorder="1" applyAlignment="1">
      <alignment/>
    </xf>
    <xf numFmtId="43" fontId="81" fillId="0" borderId="14" xfId="33" applyFont="1" applyBorder="1" applyAlignment="1">
      <alignment/>
    </xf>
    <xf numFmtId="43" fontId="81" fillId="0" borderId="15" xfId="33" applyFont="1" applyBorder="1" applyAlignment="1">
      <alignment/>
    </xf>
    <xf numFmtId="43" fontId="81" fillId="0" borderId="16" xfId="33" applyFont="1" applyBorder="1" applyAlignment="1">
      <alignment/>
    </xf>
    <xf numFmtId="43" fontId="82" fillId="0" borderId="10" xfId="33" applyFont="1" applyBorder="1" applyAlignment="1">
      <alignment/>
    </xf>
    <xf numFmtId="43" fontId="81" fillId="0" borderId="17" xfId="33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4" fillId="0" borderId="0" xfId="0" applyFont="1" applyAlignment="1">
      <alignment/>
    </xf>
    <xf numFmtId="0" fontId="82" fillId="0" borderId="14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/>
    </xf>
    <xf numFmtId="0" fontId="81" fillId="0" borderId="15" xfId="0" applyFont="1" applyBorder="1" applyAlignment="1">
      <alignment vertical="center"/>
    </xf>
    <xf numFmtId="0" fontId="82" fillId="0" borderId="19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/>
    </xf>
    <xf numFmtId="0" fontId="85" fillId="0" borderId="0" xfId="0" applyFont="1" applyAlignment="1">
      <alignment horizontal="center"/>
    </xf>
    <xf numFmtId="0" fontId="80" fillId="0" borderId="15" xfId="0" applyFont="1" applyBorder="1" applyAlignment="1">
      <alignment/>
    </xf>
    <xf numFmtId="0" fontId="80" fillId="0" borderId="15" xfId="0" applyFont="1" applyBorder="1" applyAlignment="1">
      <alignment vertical="center"/>
    </xf>
    <xf numFmtId="0" fontId="85" fillId="0" borderId="10" xfId="0" applyFont="1" applyBorder="1" applyAlignment="1">
      <alignment horizontal="center"/>
    </xf>
    <xf numFmtId="0" fontId="85" fillId="0" borderId="0" xfId="0" applyFont="1" applyAlignment="1">
      <alignment/>
    </xf>
    <xf numFmtId="43" fontId="80" fillId="0" borderId="15" xfId="33" applyFont="1" applyBorder="1" applyAlignment="1">
      <alignment/>
    </xf>
    <xf numFmtId="43" fontId="80" fillId="0" borderId="15" xfId="33" applyFont="1" applyBorder="1" applyAlignment="1">
      <alignment vertical="center"/>
    </xf>
    <xf numFmtId="43" fontId="80" fillId="0" borderId="16" xfId="33" applyFont="1" applyBorder="1" applyAlignment="1">
      <alignment/>
    </xf>
    <xf numFmtId="0" fontId="80" fillId="0" borderId="16" xfId="0" applyFont="1" applyBorder="1" applyAlignment="1">
      <alignment vertical="center"/>
    </xf>
    <xf numFmtId="43" fontId="80" fillId="0" borderId="16" xfId="33" applyFont="1" applyBorder="1" applyAlignment="1">
      <alignment vertical="center"/>
    </xf>
    <xf numFmtId="0" fontId="80" fillId="0" borderId="15" xfId="0" applyFont="1" applyBorder="1" applyAlignment="1">
      <alignment horizontal="left" vertical="center"/>
    </xf>
    <xf numFmtId="0" fontId="86" fillId="0" borderId="14" xfId="0" applyFont="1" applyBorder="1" applyAlignment="1">
      <alignment horizontal="left" vertical="center"/>
    </xf>
    <xf numFmtId="0" fontId="86" fillId="0" borderId="14" xfId="0" applyFont="1" applyBorder="1" applyAlignment="1">
      <alignment vertical="center"/>
    </xf>
    <xf numFmtId="0" fontId="80" fillId="0" borderId="0" xfId="0" applyFont="1" applyAlignment="1">
      <alignment horizontal="center"/>
    </xf>
    <xf numFmtId="43" fontId="85" fillId="0" borderId="19" xfId="33" applyFont="1" applyBorder="1" applyAlignment="1">
      <alignment vertical="center"/>
    </xf>
    <xf numFmtId="43" fontId="85" fillId="0" borderId="19" xfId="33" applyFont="1" applyBorder="1" applyAlignment="1">
      <alignment horizontal="center" vertical="center"/>
    </xf>
    <xf numFmtId="43" fontId="85" fillId="0" borderId="19" xfId="33" applyFont="1" applyBorder="1" applyAlignment="1">
      <alignment horizontal="center" vertical="center" wrapText="1"/>
    </xf>
    <xf numFmtId="43" fontId="85" fillId="0" borderId="14" xfId="33" applyFont="1" applyBorder="1" applyAlignment="1">
      <alignment horizontal="center" vertical="center"/>
    </xf>
    <xf numFmtId="43" fontId="85" fillId="0" borderId="20" xfId="33" applyFont="1" applyBorder="1" applyAlignment="1">
      <alignment vertical="center"/>
    </xf>
    <xf numFmtId="43" fontId="85" fillId="0" borderId="20" xfId="33" applyFont="1" applyBorder="1" applyAlignment="1">
      <alignment horizontal="center" vertical="center"/>
    </xf>
    <xf numFmtId="43" fontId="85" fillId="0" borderId="20" xfId="33" applyFont="1" applyBorder="1" applyAlignment="1">
      <alignment horizontal="center" vertical="center" wrapText="1"/>
    </xf>
    <xf numFmtId="43" fontId="85" fillId="0" borderId="15" xfId="33" applyFont="1" applyBorder="1" applyAlignment="1">
      <alignment horizontal="center" vertical="center"/>
    </xf>
    <xf numFmtId="43" fontId="80" fillId="0" borderId="15" xfId="33" applyFont="1" applyBorder="1" applyAlignment="1">
      <alignment/>
    </xf>
    <xf numFmtId="43" fontId="85" fillId="0" borderId="15" xfId="33" applyFont="1" applyBorder="1" applyAlignment="1">
      <alignment vertical="center"/>
    </xf>
    <xf numFmtId="43" fontId="85" fillId="0" borderId="15" xfId="33" applyFont="1" applyBorder="1" applyAlignment="1">
      <alignment horizontal="center" vertical="center" wrapText="1"/>
    </xf>
    <xf numFmtId="43" fontId="85" fillId="0" borderId="21" xfId="33" applyFont="1" applyBorder="1" applyAlignment="1">
      <alignment vertical="center"/>
    </xf>
    <xf numFmtId="43" fontId="85" fillId="0" borderId="21" xfId="33" applyFont="1" applyBorder="1" applyAlignment="1">
      <alignment horizontal="center" vertical="center"/>
    </xf>
    <xf numFmtId="43" fontId="85" fillId="0" borderId="22" xfId="33" applyFont="1" applyBorder="1" applyAlignment="1">
      <alignment horizontal="center" vertical="center" wrapText="1"/>
    </xf>
    <xf numFmtId="43" fontId="85" fillId="0" borderId="22" xfId="33" applyFont="1" applyBorder="1" applyAlignment="1">
      <alignment horizontal="center" vertical="center"/>
    </xf>
    <xf numFmtId="43" fontId="81" fillId="0" borderId="21" xfId="33" applyFont="1" applyBorder="1" applyAlignment="1">
      <alignment/>
    </xf>
    <xf numFmtId="43" fontId="85" fillId="0" borderId="21" xfId="0" applyNumberFormat="1" applyFont="1" applyBorder="1" applyAlignment="1">
      <alignment/>
    </xf>
    <xf numFmtId="2" fontId="80" fillId="0" borderId="23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readingOrder="1"/>
    </xf>
    <xf numFmtId="0" fontId="6" fillId="0" borderId="0" xfId="0" applyFont="1" applyBorder="1" applyAlignment="1">
      <alignment horizontal="center" vertical="center" readingOrder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 readingOrder="1"/>
    </xf>
    <xf numFmtId="0" fontId="82" fillId="0" borderId="0" xfId="0" applyFont="1" applyBorder="1" applyAlignment="1">
      <alignment horizontal="center"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/>
    </xf>
    <xf numFmtId="0" fontId="83" fillId="0" borderId="0" xfId="0" applyFont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83" fillId="0" borderId="0" xfId="0" applyFont="1" applyBorder="1" applyAlignment="1">
      <alignment/>
    </xf>
    <xf numFmtId="0" fontId="81" fillId="0" borderId="0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right" vertical="center"/>
      <protection/>
    </xf>
    <xf numFmtId="0" fontId="82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0" fontId="89" fillId="0" borderId="0" xfId="0" applyFont="1" applyAlignment="1">
      <alignment horizont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vertical="top" wrapText="1"/>
    </xf>
    <xf numFmtId="0" fontId="91" fillId="0" borderId="0" xfId="0" applyFont="1" applyAlignment="1">
      <alignment vertical="top" wrapText="1"/>
    </xf>
    <xf numFmtId="0" fontId="90" fillId="0" borderId="0" xfId="0" applyFont="1" applyAlignment="1">
      <alignment horizontal="left" vertical="top" wrapText="1"/>
    </xf>
    <xf numFmtId="0" fontId="91" fillId="0" borderId="0" xfId="0" applyFont="1" applyAlignment="1">
      <alignment wrapText="1"/>
    </xf>
    <xf numFmtId="0" fontId="89" fillId="0" borderId="0" xfId="0" applyFont="1" applyAlignment="1">
      <alignment vertical="top" wrapText="1"/>
    </xf>
    <xf numFmtId="0" fontId="82" fillId="0" borderId="0" xfId="0" applyFont="1" applyFill="1" applyBorder="1" applyAlignment="1">
      <alignment/>
    </xf>
    <xf numFmtId="0" fontId="82" fillId="0" borderId="0" xfId="0" applyFont="1" applyFill="1" applyBorder="1" applyAlignment="1">
      <alignment horizontal="left" vertical="center"/>
    </xf>
    <xf numFmtId="0" fontId="80" fillId="0" borderId="24" xfId="0" applyFont="1" applyBorder="1" applyAlignment="1">
      <alignment/>
    </xf>
    <xf numFmtId="43" fontId="80" fillId="0" borderId="0" xfId="33" applyFont="1" applyAlignment="1">
      <alignment/>
    </xf>
    <xf numFmtId="0" fontId="80" fillId="0" borderId="25" xfId="0" applyFont="1" applyBorder="1" applyAlignment="1">
      <alignment/>
    </xf>
    <xf numFmtId="43" fontId="80" fillId="0" borderId="23" xfId="0" applyNumberFormat="1" applyFont="1" applyBorder="1" applyAlignment="1">
      <alignment/>
    </xf>
    <xf numFmtId="43" fontId="81" fillId="0" borderId="17" xfId="0" applyNumberFormat="1" applyFont="1" applyBorder="1" applyAlignment="1">
      <alignment/>
    </xf>
    <xf numFmtId="0" fontId="88" fillId="0" borderId="0" xfId="0" applyFont="1" applyAlignment="1">
      <alignment/>
    </xf>
    <xf numFmtId="43" fontId="3" fillId="0" borderId="0" xfId="33" applyFont="1" applyBorder="1" applyAlignment="1">
      <alignment vertical="center"/>
    </xf>
    <xf numFmtId="4" fontId="81" fillId="0" borderId="0" xfId="0" applyNumberFormat="1" applyFont="1" applyAlignment="1">
      <alignment/>
    </xf>
    <xf numFmtId="0" fontId="82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43" fontId="88" fillId="0" borderId="0" xfId="33" applyFont="1" applyBorder="1" applyAlignment="1">
      <alignment vertical="center"/>
    </xf>
    <xf numFmtId="0" fontId="88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43" fontId="81" fillId="0" borderId="0" xfId="33" applyFont="1" applyBorder="1" applyAlignment="1">
      <alignment horizontal="left" vertical="center"/>
    </xf>
    <xf numFmtId="43" fontId="3" fillId="0" borderId="12" xfId="33" applyFont="1" applyBorder="1" applyAlignment="1">
      <alignment vertical="center"/>
    </xf>
    <xf numFmtId="43" fontId="3" fillId="0" borderId="13" xfId="33" applyFont="1" applyBorder="1" applyAlignment="1">
      <alignment vertical="center"/>
    </xf>
    <xf numFmtId="43" fontId="81" fillId="0" borderId="0" xfId="33" applyFont="1" applyBorder="1" applyAlignment="1">
      <alignment/>
    </xf>
    <xf numFmtId="0" fontId="92" fillId="0" borderId="15" xfId="0" applyFont="1" applyBorder="1" applyAlignment="1">
      <alignment/>
    </xf>
    <xf numFmtId="0" fontId="93" fillId="0" borderId="15" xfId="0" applyFont="1" applyBorder="1" applyAlignment="1">
      <alignment/>
    </xf>
    <xf numFmtId="43" fontId="80" fillId="0" borderId="26" xfId="33" applyFont="1" applyBorder="1" applyAlignment="1">
      <alignment/>
    </xf>
    <xf numFmtId="43" fontId="80" fillId="0" borderId="26" xfId="33" applyFont="1" applyBorder="1" applyAlignment="1">
      <alignment/>
    </xf>
    <xf numFmtId="0" fontId="80" fillId="0" borderId="26" xfId="0" applyFont="1" applyFill="1" applyBorder="1" applyAlignment="1">
      <alignment/>
    </xf>
    <xf numFmtId="43" fontId="80" fillId="0" borderId="26" xfId="33" applyFont="1" applyFill="1" applyBorder="1" applyAlignment="1">
      <alignment/>
    </xf>
    <xf numFmtId="43" fontId="80" fillId="0" borderId="26" xfId="33" applyFont="1" applyFill="1" applyBorder="1" applyAlignment="1">
      <alignment/>
    </xf>
    <xf numFmtId="0" fontId="80" fillId="0" borderId="0" xfId="0" applyFont="1" applyFill="1" applyAlignment="1">
      <alignment/>
    </xf>
    <xf numFmtId="43" fontId="80" fillId="0" borderId="0" xfId="33" applyFont="1" applyAlignment="1">
      <alignment/>
    </xf>
    <xf numFmtId="0" fontId="94" fillId="0" borderId="0" xfId="0" applyFont="1" applyAlignment="1">
      <alignment/>
    </xf>
    <xf numFmtId="17" fontId="80" fillId="0" borderId="10" xfId="0" applyNumberFormat="1" applyFont="1" applyBorder="1" applyAlignment="1">
      <alignment/>
    </xf>
    <xf numFmtId="0" fontId="80" fillId="0" borderId="10" xfId="0" applyFont="1" applyBorder="1" applyAlignment="1">
      <alignment/>
    </xf>
    <xf numFmtId="43" fontId="80" fillId="0" borderId="10" xfId="33" applyFont="1" applyBorder="1" applyAlignment="1">
      <alignment/>
    </xf>
    <xf numFmtId="0" fontId="85" fillId="0" borderId="19" xfId="0" applyFont="1" applyBorder="1" applyAlignment="1">
      <alignment horizontal="center" vertical="center"/>
    </xf>
    <xf numFmtId="43" fontId="9" fillId="0" borderId="26" xfId="33" applyFont="1" applyBorder="1" applyAlignment="1">
      <alignment/>
    </xf>
    <xf numFmtId="43" fontId="9" fillId="0" borderId="26" xfId="33" applyFont="1" applyFill="1" applyBorder="1" applyAlignment="1">
      <alignment/>
    </xf>
    <xf numFmtId="0" fontId="80" fillId="0" borderId="26" xfId="0" applyFont="1" applyBorder="1" applyAlignment="1">
      <alignment/>
    </xf>
    <xf numFmtId="0" fontId="80" fillId="0" borderId="26" xfId="0" applyFont="1" applyFill="1" applyBorder="1" applyAlignment="1">
      <alignment horizontal="left" vertical="center"/>
    </xf>
    <xf numFmtId="43" fontId="80" fillId="0" borderId="26" xfId="33" applyFont="1" applyFill="1" applyBorder="1" applyAlignment="1">
      <alignment vertical="center"/>
    </xf>
    <xf numFmtId="43" fontId="85" fillId="0" borderId="26" xfId="33" applyFont="1" applyFill="1" applyBorder="1" applyAlignment="1">
      <alignment horizontal="center" vertical="center" wrapText="1"/>
    </xf>
    <xf numFmtId="43" fontId="85" fillId="0" borderId="26" xfId="33" applyFont="1" applyFill="1" applyBorder="1" applyAlignment="1">
      <alignment horizontal="center" vertical="center"/>
    </xf>
    <xf numFmtId="0" fontId="80" fillId="0" borderId="26" xfId="0" applyFont="1" applyFill="1" applyBorder="1" applyAlignment="1">
      <alignment vertical="center"/>
    </xf>
    <xf numFmtId="0" fontId="80" fillId="0" borderId="26" xfId="0" applyFont="1" applyBorder="1" applyAlignment="1">
      <alignment vertical="center"/>
    </xf>
    <xf numFmtId="43" fontId="80" fillId="0" borderId="26" xfId="33" applyFont="1" applyBorder="1" applyAlignment="1">
      <alignment vertical="center"/>
    </xf>
    <xf numFmtId="0" fontId="85" fillId="0" borderId="10" xfId="0" applyFont="1" applyBorder="1" applyAlignment="1">
      <alignment horizontal="center" vertical="center" wrapText="1"/>
    </xf>
    <xf numFmtId="43" fontId="85" fillId="0" borderId="26" xfId="33" applyFont="1" applyBorder="1" applyAlignment="1">
      <alignment vertical="center"/>
    </xf>
    <xf numFmtId="43" fontId="85" fillId="0" borderId="26" xfId="33" applyFont="1" applyBorder="1" applyAlignment="1">
      <alignment horizontal="center" vertical="center"/>
    </xf>
    <xf numFmtId="43" fontId="85" fillId="0" borderId="26" xfId="33" applyFont="1" applyBorder="1" applyAlignment="1">
      <alignment horizontal="center" vertical="center" wrapText="1"/>
    </xf>
    <xf numFmtId="43" fontId="85" fillId="0" borderId="27" xfId="33" applyFont="1" applyBorder="1" applyAlignment="1">
      <alignment vertical="center"/>
    </xf>
    <xf numFmtId="43" fontId="85" fillId="0" borderId="27" xfId="33" applyFont="1" applyBorder="1" applyAlignment="1">
      <alignment horizontal="center" vertical="center"/>
    </xf>
    <xf numFmtId="43" fontId="85" fillId="0" borderId="27" xfId="33" applyFont="1" applyBorder="1" applyAlignment="1">
      <alignment horizontal="center" vertical="center" wrapText="1"/>
    </xf>
    <xf numFmtId="43" fontId="80" fillId="0" borderId="16" xfId="0" applyNumberFormat="1" applyFont="1" applyBorder="1" applyAlignment="1">
      <alignment/>
    </xf>
    <xf numFmtId="43" fontId="85" fillId="0" borderId="28" xfId="0" applyNumberFormat="1" applyFont="1" applyBorder="1" applyAlignment="1">
      <alignment/>
    </xf>
    <xf numFmtId="43" fontId="81" fillId="0" borderId="28" xfId="33" applyFont="1" applyBorder="1" applyAlignment="1">
      <alignment/>
    </xf>
    <xf numFmtId="43" fontId="85" fillId="0" borderId="29" xfId="33" applyFont="1" applyBorder="1" applyAlignment="1">
      <alignment horizontal="center" vertical="center" wrapText="1"/>
    </xf>
    <xf numFmtId="43" fontId="85" fillId="0" borderId="29" xfId="33" applyFont="1" applyBorder="1" applyAlignment="1">
      <alignment horizontal="center" vertical="center"/>
    </xf>
    <xf numFmtId="0" fontId="80" fillId="0" borderId="24" xfId="0" applyFont="1" applyBorder="1" applyAlignment="1">
      <alignment horizontal="right"/>
    </xf>
    <xf numFmtId="43" fontId="81" fillId="0" borderId="0" xfId="0" applyNumberFormat="1" applyFont="1" applyBorder="1" applyAlignment="1">
      <alignment vertical="center"/>
    </xf>
    <xf numFmtId="0" fontId="85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95" fillId="0" borderId="27" xfId="0" applyFont="1" applyBorder="1" applyAlignment="1">
      <alignment horizontal="left" vertical="center"/>
    </xf>
    <xf numFmtId="0" fontId="96" fillId="0" borderId="26" xfId="0" applyFont="1" applyBorder="1" applyAlignment="1">
      <alignment horizontal="center" vertical="center"/>
    </xf>
    <xf numFmtId="0" fontId="97" fillId="0" borderId="26" xfId="0" applyFont="1" applyBorder="1" applyAlignment="1">
      <alignment vertical="center"/>
    </xf>
    <xf numFmtId="0" fontId="98" fillId="0" borderId="28" xfId="0" applyFont="1" applyBorder="1" applyAlignment="1">
      <alignment horizontal="center"/>
    </xf>
    <xf numFmtId="43" fontId="9" fillId="0" borderId="15" xfId="33" applyFont="1" applyBorder="1" applyAlignment="1">
      <alignment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99" fillId="0" borderId="15" xfId="0" applyFont="1" applyBorder="1" applyAlignment="1">
      <alignment/>
    </xf>
    <xf numFmtId="0" fontId="100" fillId="0" borderId="15" xfId="0" applyFont="1" applyBorder="1" applyAlignment="1">
      <alignment/>
    </xf>
    <xf numFmtId="43" fontId="3" fillId="0" borderId="15" xfId="33" applyFont="1" applyBorder="1" applyAlignment="1">
      <alignment/>
    </xf>
    <xf numFmtId="43" fontId="81" fillId="0" borderId="0" xfId="0" applyNumberFormat="1" applyFont="1" applyAlignment="1">
      <alignment/>
    </xf>
    <xf numFmtId="43" fontId="9" fillId="0" borderId="20" xfId="33" applyFont="1" applyBorder="1" applyAlignment="1">
      <alignment vertical="center"/>
    </xf>
    <xf numFmtId="0" fontId="82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43" fontId="80" fillId="0" borderId="20" xfId="33" applyFont="1" applyBorder="1" applyAlignment="1">
      <alignment vertical="center"/>
    </xf>
    <xf numFmtId="0" fontId="101" fillId="0" borderId="0" xfId="0" applyFont="1" applyAlignment="1">
      <alignment/>
    </xf>
    <xf numFmtId="0" fontId="93" fillId="0" borderId="0" xfId="0" applyFont="1" applyAlignment="1">
      <alignment/>
    </xf>
    <xf numFmtId="0" fontId="92" fillId="0" borderId="0" xfId="0" applyFont="1" applyAlignment="1">
      <alignment/>
    </xf>
    <xf numFmtId="43" fontId="92" fillId="0" borderId="0" xfId="33" applyFont="1" applyAlignment="1">
      <alignment/>
    </xf>
    <xf numFmtId="43" fontId="92" fillId="0" borderId="13" xfId="33" applyFont="1" applyBorder="1" applyAlignment="1">
      <alignment/>
    </xf>
    <xf numFmtId="0" fontId="92" fillId="0" borderId="0" xfId="0" applyFont="1" applyAlignment="1">
      <alignment horizontal="center"/>
    </xf>
    <xf numFmtId="0" fontId="100" fillId="0" borderId="0" xfId="0" applyFont="1" applyAlignment="1">
      <alignment/>
    </xf>
    <xf numFmtId="0" fontId="10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vertical="center"/>
    </xf>
    <xf numFmtId="187" fontId="13" fillId="0" borderId="30" xfId="33" applyNumberFormat="1" applyFont="1" applyBorder="1" applyAlignment="1">
      <alignment horizontal="right" vertical="center"/>
    </xf>
    <xf numFmtId="39" fontId="13" fillId="0" borderId="0" xfId="33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vertical="center"/>
    </xf>
    <xf numFmtId="43" fontId="13" fillId="0" borderId="0" xfId="33" applyFon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4" fontId="13" fillId="0" borderId="0" xfId="0" applyNumberFormat="1" applyFont="1" applyAlignment="1">
      <alignment horizontal="center" vertical="center"/>
    </xf>
    <xf numFmtId="0" fontId="103" fillId="0" borderId="0" xfId="0" applyFont="1" applyAlignment="1">
      <alignment/>
    </xf>
    <xf numFmtId="43" fontId="16" fillId="0" borderId="0" xfId="33" applyFont="1" applyAlignment="1">
      <alignment/>
    </xf>
    <xf numFmtId="0" fontId="3" fillId="0" borderId="0" xfId="0" applyFont="1" applyBorder="1" applyAlignment="1">
      <alignment vertical="center"/>
    </xf>
    <xf numFmtId="0" fontId="82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 applyProtection="1">
      <alignment vertical="center"/>
      <protection/>
    </xf>
    <xf numFmtId="43" fontId="92" fillId="0" borderId="0" xfId="33" applyFont="1" applyBorder="1" applyAlignment="1">
      <alignment/>
    </xf>
    <xf numFmtId="0" fontId="81" fillId="0" borderId="14" xfId="0" applyFont="1" applyBorder="1" applyAlignment="1">
      <alignment horizontal="left"/>
    </xf>
    <xf numFmtId="43" fontId="81" fillId="0" borderId="14" xfId="33" applyFont="1" applyBorder="1" applyAlignment="1">
      <alignment horizontal="center"/>
    </xf>
    <xf numFmtId="43" fontId="81" fillId="0" borderId="15" xfId="33" applyFont="1" applyBorder="1" applyAlignment="1">
      <alignment horizontal="center"/>
    </xf>
    <xf numFmtId="0" fontId="81" fillId="0" borderId="0" xfId="0" applyFont="1" applyBorder="1" applyAlignment="1">
      <alignment horizontal="left"/>
    </xf>
    <xf numFmtId="0" fontId="82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1" fillId="0" borderId="15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16" fillId="0" borderId="0" xfId="0" applyFont="1" applyFill="1" applyBorder="1" applyAlignment="1" applyProtection="1">
      <alignment vertical="center"/>
      <protection/>
    </xf>
    <xf numFmtId="0" fontId="82" fillId="0" borderId="10" xfId="0" applyFont="1" applyBorder="1" applyAlignment="1">
      <alignment horizontal="center"/>
    </xf>
    <xf numFmtId="0" fontId="81" fillId="33" borderId="0" xfId="0" applyFont="1" applyFill="1" applyAlignment="1">
      <alignment/>
    </xf>
    <xf numFmtId="0" fontId="81" fillId="0" borderId="10" xfId="0" applyFont="1" applyBorder="1" applyAlignment="1">
      <alignment horizontal="center"/>
    </xf>
    <xf numFmtId="0" fontId="93" fillId="33" borderId="0" xfId="0" applyFont="1" applyFill="1" applyAlignment="1">
      <alignment/>
    </xf>
    <xf numFmtId="43" fontId="81" fillId="0" borderId="13" xfId="0" applyNumberFormat="1" applyFont="1" applyBorder="1" applyAlignment="1">
      <alignment/>
    </xf>
    <xf numFmtId="0" fontId="4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81" fillId="0" borderId="0" xfId="0" applyFont="1" applyBorder="1" applyAlignment="1">
      <alignment/>
    </xf>
    <xf numFmtId="0" fontId="13" fillId="0" borderId="33" xfId="0" applyFont="1" applyBorder="1" applyAlignment="1">
      <alignment vertical="center"/>
    </xf>
    <xf numFmtId="43" fontId="13" fillId="0" borderId="20" xfId="33" applyFont="1" applyBorder="1" applyAlignment="1">
      <alignment vertical="center"/>
    </xf>
    <xf numFmtId="4" fontId="13" fillId="0" borderId="33" xfId="0" applyNumberFormat="1" applyFont="1" applyBorder="1" applyAlignment="1">
      <alignment vertical="center"/>
    </xf>
    <xf numFmtId="4" fontId="13" fillId="0" borderId="20" xfId="0" applyNumberFormat="1" applyFont="1" applyBorder="1" applyAlignment="1">
      <alignment vertical="center"/>
    </xf>
    <xf numFmtId="43" fontId="13" fillId="0" borderId="33" xfId="33" applyFont="1" applyBorder="1" applyAlignment="1">
      <alignment vertical="center"/>
    </xf>
    <xf numFmtId="187" fontId="13" fillId="0" borderId="34" xfId="33" applyNumberFormat="1" applyFont="1" applyBorder="1" applyAlignment="1">
      <alignment horizontal="right" vertical="center"/>
    </xf>
    <xf numFmtId="43" fontId="13" fillId="0" borderId="33" xfId="33" applyFont="1" applyBorder="1" applyAlignment="1">
      <alignment horizontal="right" vertical="center"/>
    </xf>
    <xf numFmtId="187" fontId="13" fillId="0" borderId="35" xfId="33" applyNumberFormat="1" applyFont="1" applyBorder="1" applyAlignment="1">
      <alignment horizontal="right" vertical="center"/>
    </xf>
    <xf numFmtId="4" fontId="13" fillId="0" borderId="36" xfId="0" applyNumberFormat="1" applyFont="1" applyBorder="1" applyAlignment="1">
      <alignment vertical="center"/>
    </xf>
    <xf numFmtId="43" fontId="13" fillId="0" borderId="34" xfId="33" applyFont="1" applyBorder="1" applyAlignment="1">
      <alignment vertical="center"/>
    </xf>
    <xf numFmtId="4" fontId="13" fillId="0" borderId="30" xfId="0" applyNumberFormat="1" applyFont="1" applyBorder="1" applyAlignment="1">
      <alignment vertical="center"/>
    </xf>
    <xf numFmtId="4" fontId="13" fillId="0" borderId="35" xfId="0" applyNumberFormat="1" applyFont="1" applyBorder="1" applyAlignment="1">
      <alignment vertical="center"/>
    </xf>
    <xf numFmtId="0" fontId="81" fillId="33" borderId="0" xfId="0" applyFont="1" applyFill="1" applyBorder="1" applyAlignment="1">
      <alignment/>
    </xf>
    <xf numFmtId="0" fontId="104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2" fillId="0" borderId="10" xfId="0" applyFont="1" applyBorder="1" applyAlignment="1">
      <alignment horizontal="center"/>
    </xf>
    <xf numFmtId="0" fontId="92" fillId="0" borderId="15" xfId="0" applyFont="1" applyBorder="1" applyAlignment="1">
      <alignment vertical="center"/>
    </xf>
    <xf numFmtId="0" fontId="82" fillId="0" borderId="0" xfId="0" applyFont="1" applyAlignment="1">
      <alignment horizontal="center"/>
    </xf>
    <xf numFmtId="0" fontId="82" fillId="0" borderId="10" xfId="0" applyFont="1" applyBorder="1" applyAlignment="1">
      <alignment horizontal="center" vertical="center"/>
    </xf>
    <xf numFmtId="0" fontId="93" fillId="0" borderId="14" xfId="0" applyFont="1" applyBorder="1" applyAlignment="1">
      <alignment/>
    </xf>
    <xf numFmtId="0" fontId="82" fillId="0" borderId="10" xfId="0" applyFont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 wrapText="1"/>
    </xf>
    <xf numFmtId="0" fontId="92" fillId="0" borderId="14" xfId="0" applyFont="1" applyBorder="1" applyAlignment="1">
      <alignment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82" fillId="0" borderId="10" xfId="0" applyFont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81" fillId="0" borderId="37" xfId="0" applyFont="1" applyFill="1" applyBorder="1" applyAlignment="1">
      <alignment/>
    </xf>
    <xf numFmtId="0" fontId="81" fillId="0" borderId="18" xfId="0" applyFont="1" applyFill="1" applyBorder="1" applyAlignment="1">
      <alignment/>
    </xf>
    <xf numFmtId="0" fontId="81" fillId="0" borderId="12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left"/>
    </xf>
    <xf numFmtId="0" fontId="82" fillId="0" borderId="0" xfId="0" applyFont="1" applyAlignment="1">
      <alignment horizontal="center"/>
    </xf>
    <xf numFmtId="0" fontId="104" fillId="0" borderId="18" xfId="0" applyFont="1" applyBorder="1" applyAlignment="1">
      <alignment horizontal="center" vertical="center" wrapText="1"/>
    </xf>
    <xf numFmtId="0" fontId="82" fillId="0" borderId="37" xfId="0" applyFont="1" applyBorder="1" applyAlignment="1">
      <alignment horizontal="center"/>
    </xf>
    <xf numFmtId="0" fontId="81" fillId="0" borderId="33" xfId="0" applyFont="1" applyBorder="1" applyAlignment="1">
      <alignment horizontal="left"/>
    </xf>
    <xf numFmtId="0" fontId="81" fillId="0" borderId="31" xfId="0" applyFont="1" applyBorder="1" applyAlignment="1">
      <alignment horizontal="left"/>
    </xf>
    <xf numFmtId="43" fontId="3" fillId="0" borderId="11" xfId="33" applyFont="1" applyBorder="1" applyAlignment="1">
      <alignment vertical="center"/>
    </xf>
    <xf numFmtId="0" fontId="82" fillId="0" borderId="10" xfId="0" applyFont="1" applyFill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81" fillId="0" borderId="33" xfId="0" applyFont="1" applyBorder="1" applyAlignment="1">
      <alignment horizontal="left"/>
    </xf>
    <xf numFmtId="0" fontId="82" fillId="0" borderId="37" xfId="0" applyFont="1" applyBorder="1" applyAlignment="1">
      <alignment horizontal="center"/>
    </xf>
    <xf numFmtId="0" fontId="81" fillId="0" borderId="31" xfId="0" applyFont="1" applyBorder="1" applyAlignment="1">
      <alignment horizontal="left"/>
    </xf>
    <xf numFmtId="0" fontId="92" fillId="0" borderId="0" xfId="0" applyFont="1" applyAlignment="1">
      <alignment horizontal="center"/>
    </xf>
    <xf numFmtId="0" fontId="82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1" fillId="0" borderId="14" xfId="0" applyFont="1" applyFill="1" applyBorder="1" applyAlignment="1">
      <alignment vertical="center"/>
    </xf>
    <xf numFmtId="0" fontId="101" fillId="0" borderId="15" xfId="0" applyFont="1" applyFill="1" applyBorder="1" applyAlignment="1">
      <alignment vertical="center"/>
    </xf>
    <xf numFmtId="43" fontId="101" fillId="0" borderId="14" xfId="33" applyFont="1" applyFill="1" applyBorder="1" applyAlignment="1">
      <alignment vertical="center"/>
    </xf>
    <xf numFmtId="43" fontId="92" fillId="0" borderId="15" xfId="33" applyFont="1" applyFill="1" applyBorder="1" applyAlignment="1">
      <alignment vertical="center"/>
    </xf>
    <xf numFmtId="43" fontId="16" fillId="0" borderId="15" xfId="33" applyFont="1" applyFill="1" applyBorder="1" applyAlignment="1" applyProtection="1">
      <alignment vertical="center"/>
      <protection/>
    </xf>
    <xf numFmtId="0" fontId="16" fillId="0" borderId="15" xfId="0" applyFont="1" applyFill="1" applyBorder="1" applyAlignment="1">
      <alignment vertical="center"/>
    </xf>
    <xf numFmtId="43" fontId="16" fillId="0" borderId="15" xfId="33" applyFont="1" applyFill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43" fontId="16" fillId="0" borderId="15" xfId="33" applyFont="1" applyFill="1" applyBorder="1" applyAlignment="1">
      <alignment horizontal="left" vertical="center"/>
    </xf>
    <xf numFmtId="43" fontId="101" fillId="0" borderId="15" xfId="33" applyFont="1" applyFill="1" applyBorder="1" applyAlignment="1">
      <alignment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43" fontId="101" fillId="0" borderId="17" xfId="0" applyNumberFormat="1" applyFont="1" applyFill="1" applyBorder="1" applyAlignment="1">
      <alignment vertical="center"/>
    </xf>
    <xf numFmtId="43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30" xfId="0" applyFont="1" applyFill="1" applyBorder="1" applyAlignment="1">
      <alignment horizontal="center" vertical="center"/>
    </xf>
    <xf numFmtId="43" fontId="101" fillId="0" borderId="17" xfId="33" applyFont="1" applyFill="1" applyBorder="1" applyAlignment="1">
      <alignment vertical="center"/>
    </xf>
    <xf numFmtId="43" fontId="17" fillId="0" borderId="17" xfId="33" applyFont="1" applyFill="1" applyBorder="1" applyAlignment="1">
      <alignment horizontal="center" vertical="center"/>
    </xf>
    <xf numFmtId="43" fontId="93" fillId="0" borderId="15" xfId="33" applyFont="1" applyFill="1" applyBorder="1" applyAlignment="1">
      <alignment vertical="center"/>
    </xf>
    <xf numFmtId="43" fontId="14" fillId="0" borderId="15" xfId="33" applyFont="1" applyFill="1" applyBorder="1" applyAlignment="1">
      <alignment vertical="center"/>
    </xf>
    <xf numFmtId="0" fontId="14" fillId="0" borderId="15" xfId="0" applyFont="1" applyFill="1" applyBorder="1" applyAlignment="1" applyProtection="1">
      <alignment vertical="center"/>
      <protection/>
    </xf>
    <xf numFmtId="43" fontId="82" fillId="0" borderId="10" xfId="33" applyFont="1" applyBorder="1" applyAlignment="1">
      <alignment horizontal="center"/>
    </xf>
    <xf numFmtId="43" fontId="81" fillId="0" borderId="0" xfId="33" applyFont="1" applyAlignment="1">
      <alignment horizontal="center"/>
    </xf>
    <xf numFmtId="43" fontId="81" fillId="0" borderId="13" xfId="0" applyNumberFormat="1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/>
    </xf>
    <xf numFmtId="0" fontId="81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0" fontId="13" fillId="0" borderId="0" xfId="33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93" fillId="0" borderId="0" xfId="0" applyFont="1" applyAlignment="1">
      <alignment horizontal="center"/>
    </xf>
    <xf numFmtId="43" fontId="93" fillId="0" borderId="0" xfId="33" applyFont="1" applyAlignment="1">
      <alignment/>
    </xf>
    <xf numFmtId="0" fontId="105" fillId="0" borderId="0" xfId="0" applyFont="1" applyAlignment="1">
      <alignment/>
    </xf>
    <xf numFmtId="0" fontId="85" fillId="0" borderId="10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/>
    </xf>
    <xf numFmtId="0" fontId="85" fillId="0" borderId="14" xfId="0" applyFont="1" applyBorder="1" applyAlignment="1">
      <alignment vertical="center"/>
    </xf>
    <xf numFmtId="0" fontId="85" fillId="0" borderId="31" xfId="0" applyFont="1" applyBorder="1" applyAlignment="1">
      <alignment vertical="center"/>
    </xf>
    <xf numFmtId="0" fontId="106" fillId="0" borderId="18" xfId="0" applyFont="1" applyBorder="1" applyAlignment="1">
      <alignment horizontal="center" vertical="center" wrapText="1"/>
    </xf>
    <xf numFmtId="0" fontId="104" fillId="0" borderId="35" xfId="0" applyFont="1" applyBorder="1" applyAlignment="1">
      <alignment horizontal="center" vertical="center" wrapText="1"/>
    </xf>
    <xf numFmtId="2" fontId="80" fillId="0" borderId="0" xfId="0" applyNumberFormat="1" applyFont="1" applyBorder="1" applyAlignment="1">
      <alignment/>
    </xf>
    <xf numFmtId="0" fontId="102" fillId="0" borderId="15" xfId="0" applyFont="1" applyBorder="1" applyAlignment="1">
      <alignment/>
    </xf>
    <xf numFmtId="0" fontId="102" fillId="0" borderId="15" xfId="0" applyFont="1" applyBorder="1" applyAlignment="1">
      <alignment vertical="center"/>
    </xf>
    <xf numFmtId="0" fontId="93" fillId="0" borderId="15" xfId="0" applyFont="1" applyBorder="1" applyAlignment="1">
      <alignment horizontal="left" vertical="center"/>
    </xf>
    <xf numFmtId="0" fontId="93" fillId="0" borderId="15" xfId="0" applyFont="1" applyBorder="1" applyAlignment="1">
      <alignment vertical="center"/>
    </xf>
    <xf numFmtId="0" fontId="93" fillId="0" borderId="16" xfId="0" applyFont="1" applyBorder="1" applyAlignment="1">
      <alignment vertical="center"/>
    </xf>
    <xf numFmtId="43" fontId="80" fillId="0" borderId="0" xfId="0" applyNumberFormat="1" applyFont="1" applyBorder="1" applyAlignment="1">
      <alignment/>
    </xf>
    <xf numFmtId="0" fontId="14" fillId="0" borderId="15" xfId="0" applyFont="1" applyBorder="1" applyAlignment="1">
      <alignment vertical="center"/>
    </xf>
    <xf numFmtId="43" fontId="80" fillId="0" borderId="23" xfId="33" applyFont="1" applyBorder="1" applyAlignment="1">
      <alignment/>
    </xf>
    <xf numFmtId="43" fontId="80" fillId="0" borderId="0" xfId="33" applyFont="1" applyBorder="1" applyAlignment="1">
      <alignment/>
    </xf>
    <xf numFmtId="0" fontId="80" fillId="0" borderId="0" xfId="0" applyFont="1" applyBorder="1" applyAlignment="1">
      <alignment/>
    </xf>
    <xf numFmtId="0" fontId="107" fillId="0" borderId="14" xfId="0" applyFont="1" applyBorder="1" applyAlignment="1">
      <alignment horizontal="left" vertical="center"/>
    </xf>
    <xf numFmtId="0" fontId="104" fillId="0" borderId="14" xfId="0" applyFont="1" applyBorder="1" applyAlignment="1">
      <alignment horizontal="center" vertical="center"/>
    </xf>
    <xf numFmtId="0" fontId="107" fillId="0" borderId="14" xfId="0" applyFont="1" applyBorder="1" applyAlignment="1">
      <alignment vertical="center"/>
    </xf>
    <xf numFmtId="0" fontId="104" fillId="0" borderId="10" xfId="0" applyFont="1" applyBorder="1" applyAlignment="1">
      <alignment horizontal="center"/>
    </xf>
    <xf numFmtId="0" fontId="104" fillId="0" borderId="0" xfId="0" applyFont="1" applyAlignment="1">
      <alignment/>
    </xf>
    <xf numFmtId="0" fontId="104" fillId="0" borderId="18" xfId="0" applyFont="1" applyBorder="1" applyAlignment="1">
      <alignment horizontal="center" vertical="center"/>
    </xf>
    <xf numFmtId="0" fontId="104" fillId="0" borderId="19" xfId="0" applyFont="1" applyBorder="1" applyAlignment="1">
      <alignment horizontal="center" vertical="center" wrapText="1"/>
    </xf>
    <xf numFmtId="43" fontId="93" fillId="0" borderId="20" xfId="33" applyFont="1" applyBorder="1" applyAlignment="1">
      <alignment/>
    </xf>
    <xf numFmtId="43" fontId="104" fillId="0" borderId="20" xfId="33" applyFont="1" applyBorder="1" applyAlignment="1">
      <alignment horizontal="center" vertical="center" wrapText="1"/>
    </xf>
    <xf numFmtId="43" fontId="104" fillId="0" borderId="20" xfId="33" applyFont="1" applyBorder="1" applyAlignment="1">
      <alignment horizontal="center" vertical="center"/>
    </xf>
    <xf numFmtId="43" fontId="93" fillId="0" borderId="15" xfId="33" applyFont="1" applyBorder="1" applyAlignment="1">
      <alignment/>
    </xf>
    <xf numFmtId="43" fontId="93" fillId="0" borderId="15" xfId="33" applyFont="1" applyBorder="1" applyAlignment="1">
      <alignment vertical="center"/>
    </xf>
    <xf numFmtId="43" fontId="93" fillId="0" borderId="16" xfId="33" applyFont="1" applyBorder="1" applyAlignment="1">
      <alignment/>
    </xf>
    <xf numFmtId="43" fontId="93" fillId="0" borderId="16" xfId="33" applyFont="1" applyBorder="1" applyAlignment="1">
      <alignment vertical="center"/>
    </xf>
    <xf numFmtId="43" fontId="104" fillId="0" borderId="22" xfId="33" applyFont="1" applyBorder="1" applyAlignment="1">
      <alignment horizontal="center" vertical="center"/>
    </xf>
    <xf numFmtId="43" fontId="104" fillId="0" borderId="22" xfId="33" applyFont="1" applyBorder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85" fillId="0" borderId="10" xfId="0" applyFont="1" applyBorder="1" applyAlignment="1">
      <alignment horizontal="center"/>
    </xf>
    <xf numFmtId="0" fontId="85" fillId="0" borderId="14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 vertical="center"/>
    </xf>
    <xf numFmtId="0" fontId="101" fillId="0" borderId="0" xfId="0" applyFont="1" applyFill="1" applyBorder="1" applyAlignment="1">
      <alignment vertical="center"/>
    </xf>
    <xf numFmtId="0" fontId="82" fillId="0" borderId="0" xfId="0" applyFont="1" applyAlignment="1">
      <alignment horizontal="center"/>
    </xf>
    <xf numFmtId="0" fontId="82" fillId="0" borderId="10" xfId="0" applyFont="1" applyBorder="1" applyAlignment="1">
      <alignment horizontal="center" vertical="center"/>
    </xf>
    <xf numFmtId="0" fontId="85" fillId="0" borderId="0" xfId="0" applyFont="1" applyAlignment="1">
      <alignment horizontal="center"/>
    </xf>
    <xf numFmtId="0" fontId="99" fillId="0" borderId="14" xfId="0" applyFont="1" applyBorder="1" applyAlignment="1">
      <alignment/>
    </xf>
    <xf numFmtId="0" fontId="108" fillId="0" borderId="18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43" fontId="81" fillId="0" borderId="33" xfId="33" applyFont="1" applyBorder="1" applyAlignment="1">
      <alignment/>
    </xf>
    <xf numFmtId="0" fontId="85" fillId="0" borderId="18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85" fillId="0" borderId="14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 wrapText="1"/>
    </xf>
    <xf numFmtId="0" fontId="85" fillId="0" borderId="20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/>
    </xf>
    <xf numFmtId="0" fontId="80" fillId="0" borderId="33" xfId="0" applyFont="1" applyBorder="1" applyAlignment="1">
      <alignment vertical="center"/>
    </xf>
    <xf numFmtId="43" fontId="85" fillId="0" borderId="21" xfId="33" applyFont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82" fillId="0" borderId="10" xfId="0" applyFont="1" applyBorder="1" applyAlignment="1">
      <alignment horizontal="center" vertical="center"/>
    </xf>
    <xf numFmtId="43" fontId="81" fillId="0" borderId="15" xfId="33" applyFont="1" applyBorder="1" applyAlignment="1">
      <alignment vertical="center"/>
    </xf>
    <xf numFmtId="43" fontId="81" fillId="0" borderId="33" xfId="33" applyFont="1" applyBorder="1" applyAlignment="1">
      <alignment vertical="center"/>
    </xf>
    <xf numFmtId="43" fontId="82" fillId="0" borderId="20" xfId="33" applyFont="1" applyBorder="1" applyAlignment="1">
      <alignment horizontal="center" vertical="center" wrapText="1"/>
    </xf>
    <xf numFmtId="0" fontId="93" fillId="0" borderId="14" xfId="0" applyFont="1" applyBorder="1" applyAlignment="1">
      <alignment horizontal="center"/>
    </xf>
    <xf numFmtId="0" fontId="93" fillId="0" borderId="15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90" fillId="0" borderId="0" xfId="0" applyFont="1" applyAlignment="1">
      <alignment/>
    </xf>
    <xf numFmtId="0" fontId="103" fillId="0" borderId="15" xfId="0" applyFont="1" applyBorder="1" applyAlignment="1">
      <alignment/>
    </xf>
    <xf numFmtId="0" fontId="8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81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82" fillId="0" borderId="31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0" fontId="82" fillId="0" borderId="34" xfId="0" applyFont="1" applyFill="1" applyBorder="1" applyAlignment="1">
      <alignment horizontal="center" vertical="center"/>
    </xf>
    <xf numFmtId="0" fontId="82" fillId="0" borderId="35" xfId="0" applyFont="1" applyFill="1" applyBorder="1" applyAlignment="1">
      <alignment horizontal="center" vertical="center"/>
    </xf>
    <xf numFmtId="0" fontId="82" fillId="0" borderId="37" xfId="0" applyFont="1" applyFill="1" applyBorder="1" applyAlignment="1">
      <alignment horizontal="center" vertical="center"/>
    </xf>
    <xf numFmtId="0" fontId="82" fillId="0" borderId="18" xfId="0" applyFont="1" applyFill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81" fillId="0" borderId="33" xfId="0" applyFont="1" applyBorder="1" applyAlignment="1">
      <alignment horizontal="left"/>
    </xf>
    <xf numFmtId="0" fontId="81" fillId="0" borderId="20" xfId="0" applyFont="1" applyBorder="1" applyAlignment="1">
      <alignment horizontal="left"/>
    </xf>
    <xf numFmtId="0" fontId="82" fillId="0" borderId="0" xfId="0" applyFont="1" applyAlignment="1">
      <alignment horizontal="left"/>
    </xf>
    <xf numFmtId="0" fontId="82" fillId="0" borderId="37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82" fillId="0" borderId="12" xfId="0" applyFont="1" applyBorder="1" applyAlignment="1">
      <alignment horizontal="center"/>
    </xf>
    <xf numFmtId="0" fontId="81" fillId="0" borderId="31" xfId="0" applyFont="1" applyBorder="1" applyAlignment="1">
      <alignment horizontal="center"/>
    </xf>
    <xf numFmtId="0" fontId="81" fillId="0" borderId="19" xfId="0" applyFont="1" applyBorder="1" applyAlignment="1">
      <alignment horizontal="center"/>
    </xf>
    <xf numFmtId="0" fontId="81" fillId="0" borderId="31" xfId="0" applyFont="1" applyBorder="1" applyAlignment="1">
      <alignment horizontal="left"/>
    </xf>
    <xf numFmtId="0" fontId="81" fillId="0" borderId="19" xfId="0" applyFont="1" applyBorder="1" applyAlignment="1">
      <alignment horizontal="left"/>
    </xf>
    <xf numFmtId="0" fontId="81" fillId="33" borderId="0" xfId="0" applyFont="1" applyFill="1" applyAlignment="1">
      <alignment horizontal="left"/>
    </xf>
    <xf numFmtId="0" fontId="82" fillId="0" borderId="0" xfId="0" applyFont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horizontal="center"/>
    </xf>
    <xf numFmtId="0" fontId="92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81" fillId="33" borderId="0" xfId="0" applyFont="1" applyFill="1" applyBorder="1" applyAlignment="1">
      <alignment horizontal="center"/>
    </xf>
    <xf numFmtId="0" fontId="81" fillId="0" borderId="37" xfId="0" applyFont="1" applyFill="1" applyBorder="1" applyAlignment="1">
      <alignment horizontal="center"/>
    </xf>
    <xf numFmtId="0" fontId="81" fillId="0" borderId="12" xfId="0" applyFont="1" applyFill="1" applyBorder="1" applyAlignment="1">
      <alignment horizontal="center"/>
    </xf>
    <xf numFmtId="0" fontId="81" fillId="0" borderId="18" xfId="0" applyFont="1" applyFill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30" xfId="0" applyFont="1" applyBorder="1" applyAlignment="1">
      <alignment horizontal="center"/>
    </xf>
    <xf numFmtId="0" fontId="85" fillId="0" borderId="14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5" fillId="0" borderId="37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 vertical="center"/>
    </xf>
    <xf numFmtId="0" fontId="85" fillId="0" borderId="0" xfId="0" applyFont="1" applyAlignment="1">
      <alignment horizontal="center"/>
    </xf>
    <xf numFmtId="0" fontId="85" fillId="0" borderId="10" xfId="0" applyFont="1" applyBorder="1" applyAlignment="1">
      <alignment horizontal="center" vertical="center"/>
    </xf>
    <xf numFmtId="0" fontId="85" fillId="0" borderId="37" xfId="0" applyFont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0" fontId="82" fillId="0" borderId="10" xfId="0" applyFont="1" applyBorder="1" applyAlignment="1">
      <alignment horizontal="center" vertical="center"/>
    </xf>
    <xf numFmtId="0" fontId="80" fillId="0" borderId="0" xfId="0" applyFont="1" applyAlignment="1">
      <alignment horizontal="center"/>
    </xf>
    <xf numFmtId="0" fontId="88" fillId="0" borderId="0" xfId="0" applyFont="1" applyAlignment="1">
      <alignment horizontal="center" vertical="top" wrapText="1"/>
    </xf>
    <xf numFmtId="0" fontId="91" fillId="0" borderId="0" xfId="0" applyFont="1" applyAlignment="1">
      <alignment horizontal="center" vertical="center" wrapText="1"/>
    </xf>
    <xf numFmtId="0" fontId="90" fillId="0" borderId="0" xfId="0" applyFont="1" applyAlignment="1">
      <alignment horizontal="lef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3</xdr:row>
      <xdr:rowOff>28575</xdr:rowOff>
    </xdr:from>
    <xdr:to>
      <xdr:col>15</xdr:col>
      <xdr:colOff>495300</xdr:colOff>
      <xdr:row>4</xdr:row>
      <xdr:rowOff>247650</xdr:rowOff>
    </xdr:to>
    <xdr:sp>
      <xdr:nvSpPr>
        <xdr:cNvPr id="1" name="Flowchart: Data 1"/>
        <xdr:cNvSpPr>
          <a:spLocks/>
        </xdr:cNvSpPr>
      </xdr:nvSpPr>
      <xdr:spPr>
        <a:xfrm>
          <a:off x="7705725" y="828675"/>
          <a:ext cx="4038600" cy="485775"/>
        </a:xfrm>
        <a:prstGeom prst="flowChartInputOutpu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800" b="0" i="0" u="none" baseline="0">
              <a:solidFill>
                <a:srgbClr val="FF0000"/>
              </a:solidFill>
            </a:rPr>
            <a:t>ตัวอย่าง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47625</xdr:rowOff>
    </xdr:from>
    <xdr:to>
      <xdr:col>0</xdr:col>
      <xdr:colOff>2266950</xdr:colOff>
      <xdr:row>1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314325"/>
          <a:ext cx="217170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หนังสือกรมการปกครอง ที่ มท 0313.4/ ว72  ลว. 16 พ.ค.43</a:t>
          </a:r>
        </a:p>
      </xdr:txBody>
    </xdr:sp>
    <xdr:clientData/>
  </xdr:twoCellAnchor>
  <xdr:twoCellAnchor>
    <xdr:from>
      <xdr:col>1</xdr:col>
      <xdr:colOff>104775</xdr:colOff>
      <xdr:row>1</xdr:row>
      <xdr:rowOff>57150</xdr:rowOff>
    </xdr:from>
    <xdr:to>
      <xdr:col>1</xdr:col>
      <xdr:colOff>2276475</xdr:colOff>
      <xdr:row>1</xdr:row>
      <xdr:rowOff>314325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067050" y="323850"/>
          <a:ext cx="217170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หนังสือ สถ. ด่วนที่สุด ที่ มท 0808.3/ ว819  ลว. 2 ก.พ.47</a:t>
          </a:r>
        </a:p>
      </xdr:txBody>
    </xdr:sp>
    <xdr:clientData/>
  </xdr:twoCellAnchor>
  <xdr:twoCellAnchor>
    <xdr:from>
      <xdr:col>2</xdr:col>
      <xdr:colOff>104775</xdr:colOff>
      <xdr:row>1</xdr:row>
      <xdr:rowOff>57150</xdr:rowOff>
    </xdr:from>
    <xdr:to>
      <xdr:col>2</xdr:col>
      <xdr:colOff>2276475</xdr:colOff>
      <xdr:row>1</xdr:row>
      <xdr:rowOff>314325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667375" y="323850"/>
          <a:ext cx="217170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หนังสือ สถ. ด่วนที่สุด ที่ มท 0808.4/ ว659  ลว. 30 มี.ค.58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9</xdr:row>
      <xdr:rowOff>76200</xdr:rowOff>
    </xdr:from>
    <xdr:to>
      <xdr:col>2</xdr:col>
      <xdr:colOff>1981200</xdr:colOff>
      <xdr:row>14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209550" y="2447925"/>
          <a:ext cx="6419850" cy="1104900"/>
        </a:xfrm>
        <a:prstGeom prst="wedgeRectCallout">
          <a:avLst>
            <a:gd name="adj1" fmla="val -50064"/>
            <a:gd name="adj2" fmla="val -33092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อสังหาริมทรัพย์</a:t>
          </a:r>
          <a:r>
            <a:rPr lang="en-US" cap="none" sz="800" b="0" i="0" u="none" baseline="0">
              <a:solidFill>
                <a:srgbClr val="FF0000"/>
              </a:solidFill>
            </a:rPr>
            <a:t> หมายถึง ที่ดิน ทรัพย์อันติดกับที่ดิน หรือประกอบเป็นอันเดียวกับที่ดิน รวมทั้งสิทธิทั้งหลายอันเกี่ยวกับกรรมสิทธิ์ที่ดินด้วย จากนิยามดังกล่าว อาจแบ่งอสังหาริมทรัพย์ออกได้ดังนี้
</a:t>
          </a:r>
          <a:r>
            <a:rPr lang="en-US" cap="none" sz="800" b="0" i="0" u="none" baseline="0">
              <a:solidFill>
                <a:srgbClr val="FF0000"/>
              </a:solidFill>
            </a:rPr>
            <a:t>1. ที่ดิน หมายถึง พื้นดินทั่วไป รวมทั้งภูเขา ห้วย หนอง คลอง บึง บาง ลำน้ำ ทะเลสาบ เกาะและที่ชายทะเล
</a:t>
          </a:r>
          <a:r>
            <a:rPr lang="en-US" cap="none" sz="800" b="0" i="0" u="none" baseline="0">
              <a:solidFill>
                <a:srgbClr val="FF0000"/>
              </a:solidFill>
            </a:rPr>
            <a:t> 2. ทรัพย์อันติดกับที่ดิน ได้แก่ ไม้ยืนต้น อาคาร โรงเรือน หรือ สิ่งก่อสร้างบนที่ดิน  เช่น
</a:t>
          </a:r>
          <a:r>
            <a:rPr lang="en-US" cap="none" sz="800" b="0" i="0" u="none" baseline="0">
              <a:solidFill>
                <a:srgbClr val="FF0000"/>
              </a:solidFill>
            </a:rPr>
            <a:t>บ้าน คอนโดมีเนียม โรงงาน โกดัง อาคารพาณิชย์ อาคาร</a:t>
          </a:r>
          <a:r>
            <a:rPr lang="en-US" cap="none" sz="800" b="0" i="0" u="none" baseline="0">
              <a:solidFill>
                <a:srgbClr val="FF0000"/>
              </a:solidFill>
            </a:rPr>
            <a:t> </a:t>
          </a:r>
          <a:r>
            <a:rPr lang="en-US" cap="none" sz="800" b="0" i="0" u="none" baseline="0">
              <a:solidFill>
                <a:srgbClr val="FF0000"/>
              </a:solidFill>
            </a:rPr>
            <a:t>
</a:t>
          </a:r>
          <a:r>
            <a:rPr lang="en-US" cap="none" sz="800" b="0" i="0" u="none" baseline="0">
              <a:solidFill>
                <a:srgbClr val="FF0000"/>
              </a:solidFill>
            </a:rPr>
            <a:t>3. ทรัพย์ซึ่งประกอบเป็นอันเดียวกับที่ดิน ได้แก่ แม่น้ำ ลำคลอง แร่ธาตุ กรวด ทราย ที่มีอยู่ตามธรรมชาติ หรือซึ่งมนุษย์นำมารวมไว้กับที่ดินจนกลายเป็นส่วนหนึ่งของพื้นดินตามธรรมชาติ
</a:t>
          </a:r>
          <a:r>
            <a:rPr lang="en-US" cap="none" sz="800" b="0" i="0" u="none" baseline="0">
              <a:solidFill>
                <a:srgbClr val="FF0000"/>
              </a:solidFill>
            </a:rPr>
            <a:t>4. สิทธิทั้งหลายอันเกี่ยวกับกรรมสิทธิ์ในที่ดิน ได้แก่ กรรมสิทธิ์ในที่ดินที่มีโฉนด สิทธิครอบครองในที่ดินที่ไม่มีโฉนด ภาระจำยอม สิทธิอาศัย สิทธิเหนือพื้นดิน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204"/>
  <sheetViews>
    <sheetView view="pageLayout" zoomScaleSheetLayoutView="100" workbookViewId="0" topLeftCell="A31">
      <selection activeCell="H5" sqref="H5"/>
    </sheetView>
  </sheetViews>
  <sheetFormatPr defaultColWidth="9.00390625" defaultRowHeight="15"/>
  <cols>
    <col min="1" max="2" width="4.57421875" style="3" customWidth="1"/>
    <col min="3" max="3" width="5.421875" style="3" customWidth="1"/>
    <col min="4" max="4" width="21.421875" style="3" customWidth="1"/>
    <col min="5" max="5" width="7.421875" style="80" customWidth="1"/>
    <col min="6" max="6" width="18.140625" style="5" customWidth="1"/>
    <col min="7" max="7" width="7.421875" style="13" customWidth="1"/>
    <col min="8" max="8" width="18.140625" style="5" customWidth="1"/>
    <col min="9" max="10" width="9.00390625" style="3" customWidth="1"/>
    <col min="11" max="11" width="21.140625" style="3" customWidth="1"/>
    <col min="12" max="16384" width="9.00390625" style="3" customWidth="1"/>
  </cols>
  <sheetData>
    <row r="1" spans="1:9" ht="19.5" customHeight="1">
      <c r="A1" s="396" t="s">
        <v>376</v>
      </c>
      <c r="B1" s="396"/>
      <c r="C1" s="396"/>
      <c r="D1" s="396"/>
      <c r="E1" s="396"/>
      <c r="F1" s="396"/>
      <c r="G1" s="396"/>
      <c r="H1" s="396"/>
      <c r="I1" s="396"/>
    </row>
    <row r="2" spans="1:9" ht="19.5" customHeight="1">
      <c r="A2" s="396" t="s">
        <v>0</v>
      </c>
      <c r="B2" s="396"/>
      <c r="C2" s="396"/>
      <c r="D2" s="396"/>
      <c r="E2" s="396"/>
      <c r="F2" s="396"/>
      <c r="G2" s="396"/>
      <c r="H2" s="396"/>
      <c r="I2" s="396"/>
    </row>
    <row r="3" spans="1:9" ht="19.5" customHeight="1">
      <c r="A3" s="396" t="s">
        <v>641</v>
      </c>
      <c r="B3" s="396"/>
      <c r="C3" s="396"/>
      <c r="D3" s="396"/>
      <c r="E3" s="396"/>
      <c r="F3" s="396"/>
      <c r="G3" s="396"/>
      <c r="H3" s="396"/>
      <c r="I3" s="396"/>
    </row>
    <row r="4" spans="1:9" ht="19.5" customHeight="1">
      <c r="A4" s="396" t="s">
        <v>1</v>
      </c>
      <c r="B4" s="396"/>
      <c r="C4" s="396"/>
      <c r="D4" s="396"/>
      <c r="E4" s="396"/>
      <c r="F4" s="396"/>
      <c r="G4" s="396"/>
      <c r="H4" s="396"/>
      <c r="I4" s="396"/>
    </row>
    <row r="5" spans="1:8" ht="19.5" customHeight="1">
      <c r="A5" s="12"/>
      <c r="B5" s="12"/>
      <c r="C5" s="12"/>
      <c r="D5" s="12"/>
      <c r="E5" s="292"/>
      <c r="F5" s="9"/>
      <c r="G5" s="218"/>
      <c r="H5" s="9"/>
    </row>
    <row r="6" spans="1:20" ht="19.5" customHeight="1">
      <c r="A6" s="12"/>
      <c r="B6" s="12"/>
      <c r="C6" s="12"/>
      <c r="D6" s="12"/>
      <c r="E6" s="80" t="s">
        <v>181</v>
      </c>
      <c r="F6" s="3"/>
      <c r="H6" s="3"/>
      <c r="L6" s="396" t="s">
        <v>0</v>
      </c>
      <c r="M6" s="396"/>
      <c r="N6" s="396"/>
      <c r="O6" s="396"/>
      <c r="P6" s="396"/>
      <c r="Q6" s="396"/>
      <c r="R6" s="396"/>
      <c r="S6" s="396"/>
      <c r="T6" s="396"/>
    </row>
    <row r="7" spans="1:8" ht="19.5" customHeight="1">
      <c r="A7" s="12"/>
      <c r="B7" s="12"/>
      <c r="C7" s="12"/>
      <c r="D7" s="12"/>
      <c r="F7" s="268" t="s">
        <v>563</v>
      </c>
      <c r="H7" s="268" t="s">
        <v>580</v>
      </c>
    </row>
    <row r="8" spans="1:8" ht="19.5" customHeight="1" thickBot="1">
      <c r="A8" s="10" t="s">
        <v>2</v>
      </c>
      <c r="B8" s="2"/>
      <c r="E8" s="80">
        <v>2</v>
      </c>
      <c r="F8" s="282">
        <v>43408342.12</v>
      </c>
      <c r="H8" s="14">
        <v>38464834.12</v>
      </c>
    </row>
    <row r="9" spans="1:2" ht="19.5" customHeight="1" thickTop="1">
      <c r="A9" s="10" t="s">
        <v>1</v>
      </c>
      <c r="B9" s="2"/>
    </row>
    <row r="10" spans="1:2" ht="19.5" customHeight="1">
      <c r="A10" s="2"/>
      <c r="B10" s="10" t="s">
        <v>182</v>
      </c>
    </row>
    <row r="11" spans="3:8" ht="19.5" customHeight="1">
      <c r="C11" s="4" t="s">
        <v>3</v>
      </c>
      <c r="E11" s="80">
        <v>3</v>
      </c>
      <c r="F11" s="5">
        <v>48507208.17</v>
      </c>
      <c r="H11" s="5">
        <v>47512582.79</v>
      </c>
    </row>
    <row r="12" spans="3:8" ht="19.5" customHeight="1">
      <c r="C12" s="4" t="s">
        <v>452</v>
      </c>
      <c r="E12" s="80">
        <v>4</v>
      </c>
      <c r="F12" s="5">
        <v>2408</v>
      </c>
      <c r="H12" s="5">
        <v>0</v>
      </c>
    </row>
    <row r="13" spans="3:8" ht="19.5" customHeight="1">
      <c r="C13" s="222" t="s">
        <v>471</v>
      </c>
      <c r="E13" s="80">
        <v>5</v>
      </c>
      <c r="H13" s="5">
        <v>35910</v>
      </c>
    </row>
    <row r="14" spans="3:8" ht="19.5" customHeight="1">
      <c r="C14" s="4" t="s">
        <v>10</v>
      </c>
      <c r="D14" s="4"/>
      <c r="E14" s="293">
        <v>6</v>
      </c>
      <c r="F14" s="115">
        <v>680000</v>
      </c>
      <c r="G14" s="16"/>
      <c r="H14" s="115">
        <f>1110000-400000</f>
        <v>710000</v>
      </c>
    </row>
    <row r="15" spans="3:8" ht="19.5" customHeight="1">
      <c r="C15" s="4" t="s">
        <v>559</v>
      </c>
      <c r="D15" s="4"/>
      <c r="E15" s="293">
        <v>7</v>
      </c>
      <c r="F15" s="5">
        <v>80312</v>
      </c>
      <c r="G15" s="16"/>
      <c r="H15" s="5">
        <v>80312</v>
      </c>
    </row>
    <row r="16" spans="3:8" ht="19.5" customHeight="1">
      <c r="C16" s="4" t="s">
        <v>561</v>
      </c>
      <c r="D16" s="4"/>
      <c r="E16" s="293"/>
      <c r="G16" s="16"/>
      <c r="H16" s="5">
        <v>35910</v>
      </c>
    </row>
    <row r="17" spans="3:8" ht="19.5" customHeight="1">
      <c r="C17" s="10" t="s">
        <v>185</v>
      </c>
      <c r="E17" s="293"/>
      <c r="F17" s="17">
        <f>SUM(F11:F15)</f>
        <v>49269928.17</v>
      </c>
      <c r="G17" s="16"/>
      <c r="H17" s="17">
        <f>SUM(H11:H16)</f>
        <v>48374714.79</v>
      </c>
    </row>
    <row r="18" spans="1:8" ht="19.5" customHeight="1" thickBot="1">
      <c r="A18" s="18" t="s">
        <v>14</v>
      </c>
      <c r="E18" s="293"/>
      <c r="F18" s="128">
        <f>+F17</f>
        <v>49269928.17</v>
      </c>
      <c r="G18" s="16"/>
      <c r="H18" s="128">
        <f>+H17</f>
        <v>48374714.79</v>
      </c>
    </row>
    <row r="19" spans="1:8" ht="19.5" customHeight="1" thickTop="1">
      <c r="A19" s="18"/>
      <c r="E19" s="293"/>
      <c r="F19" s="115"/>
      <c r="G19" s="16"/>
      <c r="H19" s="115"/>
    </row>
    <row r="20" spans="1:8" ht="19.5" customHeight="1">
      <c r="A20" s="18"/>
      <c r="E20" s="293"/>
      <c r="F20" s="115"/>
      <c r="G20" s="16"/>
      <c r="H20" s="115"/>
    </row>
    <row r="21" spans="1:8" ht="19.5" customHeight="1">
      <c r="A21" s="398" t="s">
        <v>30</v>
      </c>
      <c r="B21" s="398"/>
      <c r="C21" s="398"/>
      <c r="D21" s="398"/>
      <c r="E21" s="294"/>
      <c r="F21" s="3"/>
      <c r="G21" s="3"/>
      <c r="H21" s="3"/>
    </row>
    <row r="22" spans="1:8" ht="19.5" customHeight="1">
      <c r="A22" s="12"/>
      <c r="B22" s="12"/>
      <c r="C22" s="12"/>
      <c r="D22" s="12"/>
      <c r="E22" s="292"/>
      <c r="F22" s="9"/>
      <c r="G22" s="218"/>
      <c r="H22" s="9"/>
    </row>
    <row r="23" spans="1:8" ht="19.5" customHeight="1">
      <c r="A23" s="12"/>
      <c r="B23" s="12"/>
      <c r="C23" s="12"/>
      <c r="D23" s="12"/>
      <c r="F23" s="3"/>
      <c r="H23" s="3"/>
    </row>
    <row r="24" spans="1:8" ht="19.5" customHeight="1" thickBot="1">
      <c r="A24" s="10" t="s">
        <v>16</v>
      </c>
      <c r="B24" s="2"/>
      <c r="E24" s="80">
        <v>2</v>
      </c>
      <c r="F24" s="14">
        <v>43408342.12</v>
      </c>
      <c r="H24" s="14">
        <v>38464834.12</v>
      </c>
    </row>
    <row r="25" spans="1:3" ht="19.5" customHeight="1" thickTop="1">
      <c r="A25" s="18" t="s">
        <v>15</v>
      </c>
      <c r="B25" s="4"/>
      <c r="C25" s="2"/>
    </row>
    <row r="26" spans="1:3" ht="19.5" customHeight="1">
      <c r="A26" s="4"/>
      <c r="B26" s="10" t="s">
        <v>189</v>
      </c>
      <c r="C26" s="2"/>
    </row>
    <row r="27" spans="1:8" ht="19.5" customHeight="1">
      <c r="A27" s="4"/>
      <c r="B27" s="10"/>
      <c r="C27" s="4" t="s">
        <v>18</v>
      </c>
      <c r="E27" s="80">
        <v>8</v>
      </c>
      <c r="F27" s="5">
        <v>2208000</v>
      </c>
      <c r="H27" s="5">
        <v>3094734</v>
      </c>
    </row>
    <row r="28" spans="1:8" ht="19.5" customHeight="1">
      <c r="A28" s="4"/>
      <c r="B28" s="10"/>
      <c r="C28" s="4" t="s">
        <v>20</v>
      </c>
      <c r="F28" s="5">
        <v>2408</v>
      </c>
      <c r="H28" s="5">
        <v>0</v>
      </c>
    </row>
    <row r="29" spans="1:8" ht="19.5" customHeight="1">
      <c r="A29" s="4"/>
      <c r="B29" s="10"/>
      <c r="C29" s="4" t="s">
        <v>17</v>
      </c>
      <c r="E29" s="80">
        <v>9</v>
      </c>
      <c r="F29" s="5">
        <f>2923896.38+119651</f>
        <v>3043547.38</v>
      </c>
      <c r="H29" s="5">
        <f>2964386.86-400000</f>
        <v>2564386.86</v>
      </c>
    </row>
    <row r="30" spans="1:8" ht="19.5" customHeight="1">
      <c r="A30" s="4"/>
      <c r="B30" s="10"/>
      <c r="C30" s="4" t="s">
        <v>562</v>
      </c>
      <c r="H30" s="5">
        <v>35910</v>
      </c>
    </row>
    <row r="31" spans="3:8" ht="19.5" customHeight="1">
      <c r="C31" s="10" t="s">
        <v>190</v>
      </c>
      <c r="F31" s="17">
        <f>SUM(F27:F29)</f>
        <v>5253955.38</v>
      </c>
      <c r="H31" s="17">
        <f>SUM(H27:H30)</f>
        <v>5695030.859999999</v>
      </c>
    </row>
    <row r="32" ht="19.5" customHeight="1">
      <c r="B32" s="8" t="s">
        <v>24</v>
      </c>
    </row>
    <row r="33" ht="19.5" customHeight="1">
      <c r="A33" s="8" t="s">
        <v>25</v>
      </c>
    </row>
    <row r="34" spans="3:8" ht="19.5" customHeight="1">
      <c r="C34" s="4" t="s">
        <v>25</v>
      </c>
      <c r="E34" s="80">
        <v>10</v>
      </c>
      <c r="F34" s="115">
        <v>24565975.36</v>
      </c>
      <c r="H34" s="115">
        <v>25734141.56</v>
      </c>
    </row>
    <row r="35" spans="3:11" ht="19.5" customHeight="1">
      <c r="C35" s="4" t="s">
        <v>26</v>
      </c>
      <c r="F35" s="115">
        <v>19449997.43</v>
      </c>
      <c r="H35" s="115">
        <v>16945542.37</v>
      </c>
      <c r="K35" s="167" t="e">
        <f>#REF!-#REF!</f>
        <v>#REF!</v>
      </c>
    </row>
    <row r="36" spans="3:8" ht="19.5" customHeight="1">
      <c r="C36" s="18" t="s">
        <v>27</v>
      </c>
      <c r="F36" s="127">
        <f>SUM(F34:F35)</f>
        <v>44015972.79</v>
      </c>
      <c r="H36" s="127">
        <f>SUM(H34:H35)</f>
        <v>42679683.93</v>
      </c>
    </row>
    <row r="37" spans="1:8" ht="19.5" customHeight="1" thickBot="1">
      <c r="A37" s="18" t="s">
        <v>28</v>
      </c>
      <c r="C37" s="4"/>
      <c r="E37" s="293"/>
      <c r="F37" s="128">
        <f>+F31+F36</f>
        <v>49269928.17</v>
      </c>
      <c r="G37" s="16"/>
      <c r="H37" s="128">
        <f>+H31+H36</f>
        <v>48374714.79</v>
      </c>
    </row>
    <row r="38" spans="6:8" ht="21" thickTop="1">
      <c r="F38" s="119"/>
      <c r="H38" s="119"/>
    </row>
    <row r="39" spans="1:8" ht="21">
      <c r="A39" s="8" t="s">
        <v>560</v>
      </c>
      <c r="F39" s="119"/>
      <c r="H39" s="119"/>
    </row>
    <row r="40" spans="6:8" ht="21">
      <c r="F40" s="119"/>
      <c r="H40" s="119"/>
    </row>
    <row r="42" spans="1:8" ht="21">
      <c r="A42" s="3" t="s">
        <v>501</v>
      </c>
      <c r="E42" s="397" t="s">
        <v>502</v>
      </c>
      <c r="F42" s="397"/>
      <c r="G42" s="209" t="s">
        <v>556</v>
      </c>
      <c r="H42" s="209"/>
    </row>
    <row r="43" spans="1:8" ht="21">
      <c r="A43" s="3" t="s">
        <v>503</v>
      </c>
      <c r="E43" s="115"/>
      <c r="G43" s="209"/>
      <c r="H43" s="90"/>
    </row>
    <row r="45" spans="1:9" ht="21">
      <c r="A45" s="396" t="s">
        <v>376</v>
      </c>
      <c r="B45" s="396"/>
      <c r="C45" s="396"/>
      <c r="D45" s="396"/>
      <c r="E45" s="396"/>
      <c r="F45" s="396"/>
      <c r="G45" s="396"/>
      <c r="H45" s="396"/>
      <c r="I45" s="396"/>
    </row>
    <row r="46" spans="1:9" ht="21">
      <c r="A46" s="396" t="s">
        <v>0</v>
      </c>
      <c r="B46" s="396"/>
      <c r="C46" s="396"/>
      <c r="D46" s="396"/>
      <c r="E46" s="396"/>
      <c r="F46" s="396"/>
      <c r="G46" s="396"/>
      <c r="H46" s="396"/>
      <c r="I46" s="396"/>
    </row>
    <row r="47" spans="1:9" ht="21">
      <c r="A47" s="396" t="s">
        <v>423</v>
      </c>
      <c r="B47" s="396"/>
      <c r="C47" s="396"/>
      <c r="D47" s="396"/>
      <c r="E47" s="396"/>
      <c r="F47" s="396"/>
      <c r="G47" s="396"/>
      <c r="H47" s="396"/>
      <c r="I47" s="396"/>
    </row>
    <row r="48" spans="1:8" ht="21">
      <c r="A48" s="396" t="s">
        <v>1</v>
      </c>
      <c r="B48" s="396"/>
      <c r="C48" s="396"/>
      <c r="D48" s="396"/>
      <c r="F48" s="3"/>
      <c r="G48" s="3"/>
      <c r="H48" s="3"/>
    </row>
    <row r="49" spans="1:8" ht="21">
      <c r="A49" s="176"/>
      <c r="B49" s="176"/>
      <c r="C49" s="176"/>
      <c r="D49" s="176"/>
      <c r="E49" s="292"/>
      <c r="F49" s="9" t="s">
        <v>60</v>
      </c>
      <c r="G49" s="218"/>
      <c r="H49" s="9" t="s">
        <v>60</v>
      </c>
    </row>
    <row r="50" spans="1:8" ht="21">
      <c r="A50" s="176"/>
      <c r="B50" s="176"/>
      <c r="C50" s="176"/>
      <c r="D50" s="176"/>
      <c r="E50" s="80" t="s">
        <v>181</v>
      </c>
      <c r="F50" s="3"/>
      <c r="G50" s="13" t="s">
        <v>181</v>
      </c>
      <c r="H50" s="3"/>
    </row>
    <row r="51" spans="1:8" ht="21">
      <c r="A51" s="176"/>
      <c r="B51" s="176"/>
      <c r="C51" s="176"/>
      <c r="D51" s="176"/>
      <c r="F51" s="184"/>
      <c r="H51" s="218"/>
    </row>
    <row r="52" spans="1:8" ht="21" thickBot="1">
      <c r="A52" s="2" t="s">
        <v>2</v>
      </c>
      <c r="B52" s="2"/>
      <c r="E52" s="80">
        <v>2</v>
      </c>
      <c r="F52" s="14">
        <f>37515484.12+76100</f>
        <v>37591584.12</v>
      </c>
      <c r="G52" s="13">
        <v>2</v>
      </c>
      <c r="H52" s="14">
        <f>37515484.12+76100</f>
        <v>37591584.12</v>
      </c>
    </row>
    <row r="53" spans="1:2" ht="21" thickTop="1">
      <c r="A53" s="2" t="s">
        <v>1</v>
      </c>
      <c r="B53" s="2"/>
    </row>
    <row r="54" spans="1:2" ht="21">
      <c r="A54" s="2"/>
      <c r="B54" s="10" t="s">
        <v>182</v>
      </c>
    </row>
    <row r="55" spans="3:8" ht="21">
      <c r="C55" s="4" t="s">
        <v>3</v>
      </c>
      <c r="E55" s="80">
        <v>3</v>
      </c>
      <c r="F55" s="5">
        <v>42750390.11</v>
      </c>
      <c r="G55" s="13">
        <v>3</v>
      </c>
      <c r="H55" s="5">
        <v>42750390.11</v>
      </c>
    </row>
    <row r="56" spans="3:8" ht="21">
      <c r="C56" s="4" t="s">
        <v>381</v>
      </c>
      <c r="E56" s="80">
        <v>4</v>
      </c>
      <c r="F56" s="5">
        <v>35910</v>
      </c>
      <c r="G56" s="13">
        <v>4</v>
      </c>
      <c r="H56" s="5">
        <v>35910</v>
      </c>
    </row>
    <row r="57" spans="3:8" ht="21">
      <c r="C57" s="4" t="s">
        <v>183</v>
      </c>
      <c r="D57" s="4"/>
      <c r="E57" s="293">
        <v>5</v>
      </c>
      <c r="F57" s="5">
        <v>80312</v>
      </c>
      <c r="G57" s="16">
        <v>5</v>
      </c>
      <c r="H57" s="5">
        <v>80312</v>
      </c>
    </row>
    <row r="58" spans="3:8" ht="21">
      <c r="C58" s="4" t="s">
        <v>10</v>
      </c>
      <c r="D58" s="4"/>
      <c r="E58" s="293"/>
      <c r="F58" s="5">
        <v>810000</v>
      </c>
      <c r="G58" s="16"/>
      <c r="H58" s="5">
        <v>810000</v>
      </c>
    </row>
    <row r="59" spans="3:8" ht="21">
      <c r="C59" s="4" t="s">
        <v>9</v>
      </c>
      <c r="E59" s="80">
        <v>6</v>
      </c>
      <c r="F59" s="5">
        <v>35910</v>
      </c>
      <c r="G59" s="13">
        <v>6</v>
      </c>
      <c r="H59" s="5">
        <v>35910</v>
      </c>
    </row>
    <row r="60" spans="3:8" ht="21">
      <c r="C60" s="10" t="s">
        <v>185</v>
      </c>
      <c r="E60" s="293"/>
      <c r="F60" s="17">
        <f>SUM(F55:F59)</f>
        <v>43712522.11</v>
      </c>
      <c r="G60" s="16"/>
      <c r="H60" s="17">
        <f>SUM(H55:H59)</f>
        <v>43712522.11</v>
      </c>
    </row>
    <row r="61" spans="1:8" ht="21" thickBot="1">
      <c r="A61" s="18" t="s">
        <v>14</v>
      </c>
      <c r="E61" s="293"/>
      <c r="F61" s="19">
        <f>+F60</f>
        <v>43712522.11</v>
      </c>
      <c r="G61" s="16"/>
      <c r="H61" s="19">
        <f>+H60</f>
        <v>43712522.11</v>
      </c>
    </row>
    <row r="62" spans="1:8" ht="24" thickTop="1">
      <c r="A62" s="398" t="s">
        <v>30</v>
      </c>
      <c r="B62" s="398"/>
      <c r="C62" s="398"/>
      <c r="D62" s="398"/>
      <c r="E62" s="294"/>
      <c r="F62" s="3"/>
      <c r="G62" s="3"/>
      <c r="H62" s="3"/>
    </row>
    <row r="63" spans="1:8" ht="21">
      <c r="A63" s="176"/>
      <c r="B63" s="176"/>
      <c r="C63" s="176"/>
      <c r="D63" s="176"/>
      <c r="E63" s="292"/>
      <c r="F63" s="9" t="s">
        <v>60</v>
      </c>
      <c r="G63" s="218"/>
      <c r="H63" s="9" t="s">
        <v>60</v>
      </c>
    </row>
    <row r="64" spans="1:8" ht="21">
      <c r="A64" s="176"/>
      <c r="B64" s="176"/>
      <c r="C64" s="176"/>
      <c r="D64" s="176"/>
      <c r="E64" s="80" t="s">
        <v>181</v>
      </c>
      <c r="F64" s="3"/>
      <c r="G64" s="13" t="s">
        <v>181</v>
      </c>
      <c r="H64" s="3"/>
    </row>
    <row r="65" spans="1:8" ht="21" thickBot="1">
      <c r="A65" s="10" t="s">
        <v>16</v>
      </c>
      <c r="B65" s="2"/>
      <c r="E65" s="80">
        <v>2</v>
      </c>
      <c r="F65" s="14">
        <f>37515484.12+76100</f>
        <v>37591584.12</v>
      </c>
      <c r="G65" s="13">
        <v>2</v>
      </c>
      <c r="H65" s="14">
        <f>37515484.12+76100</f>
        <v>37591584.12</v>
      </c>
    </row>
    <row r="66" spans="1:3" ht="21" thickTop="1">
      <c r="A66" s="4" t="s">
        <v>15</v>
      </c>
      <c r="B66" s="4"/>
      <c r="C66" s="2"/>
    </row>
    <row r="67" spans="1:3" ht="21">
      <c r="A67" s="4"/>
      <c r="B67" s="10" t="s">
        <v>189</v>
      </c>
      <c r="C67" s="2"/>
    </row>
    <row r="68" spans="1:8" ht="21">
      <c r="A68" s="4"/>
      <c r="B68" s="10"/>
      <c r="C68" s="4" t="s">
        <v>18</v>
      </c>
      <c r="E68" s="80">
        <v>7</v>
      </c>
      <c r="F68" s="5">
        <f>1710600+1997300</f>
        <v>3707900</v>
      </c>
      <c r="G68" s="13">
        <v>7</v>
      </c>
      <c r="H68" s="5">
        <f>1710600+1997300</f>
        <v>3707900</v>
      </c>
    </row>
    <row r="69" spans="1:8" ht="21">
      <c r="A69" s="4"/>
      <c r="B69" s="10"/>
      <c r="C69" s="4" t="s">
        <v>17</v>
      </c>
      <c r="E69" s="80">
        <v>8</v>
      </c>
      <c r="F69" s="5">
        <v>2546548.6</v>
      </c>
      <c r="G69" s="13">
        <v>8</v>
      </c>
      <c r="H69" s="5">
        <v>2546548.6</v>
      </c>
    </row>
    <row r="70" spans="3:8" ht="21">
      <c r="C70" s="4" t="s">
        <v>386</v>
      </c>
      <c r="F70" s="5">
        <v>35910</v>
      </c>
      <c r="H70" s="5">
        <v>35910</v>
      </c>
    </row>
    <row r="71" spans="3:8" ht="21">
      <c r="C71" s="10" t="s">
        <v>190</v>
      </c>
      <c r="F71" s="17">
        <f>SUM(F68:F70)</f>
        <v>6290358.6</v>
      </c>
      <c r="H71" s="17">
        <f>SUM(H68:H70)</f>
        <v>6290358.6</v>
      </c>
    </row>
    <row r="72" ht="21">
      <c r="B72" s="8" t="s">
        <v>24</v>
      </c>
    </row>
    <row r="73" ht="21">
      <c r="A73" s="3" t="s">
        <v>25</v>
      </c>
    </row>
    <row r="74" spans="3:8" ht="21">
      <c r="C74" s="4" t="s">
        <v>25</v>
      </c>
      <c r="E74" s="80">
        <v>9</v>
      </c>
      <c r="F74" s="115">
        <v>22250099.16</v>
      </c>
      <c r="G74" s="13">
        <v>9</v>
      </c>
      <c r="H74" s="115">
        <v>22250099.16</v>
      </c>
    </row>
    <row r="75" spans="3:11" ht="21">
      <c r="C75" s="4" t="s">
        <v>26</v>
      </c>
      <c r="F75" s="115">
        <f>14237723.12+934341.23</f>
        <v>15172064.35</v>
      </c>
      <c r="H75" s="115">
        <f>14237723.12+934341.23</f>
        <v>15172064.35</v>
      </c>
      <c r="K75" s="167" t="e">
        <f>#REF!-#REF!</f>
        <v>#REF!</v>
      </c>
    </row>
    <row r="76" spans="3:8" ht="21">
      <c r="C76" s="18" t="s">
        <v>27</v>
      </c>
      <c r="F76" s="127">
        <f>SUM(F74:F75)</f>
        <v>37422163.51</v>
      </c>
      <c r="H76" s="127">
        <f>SUM(H74:H75)</f>
        <v>37422163.51</v>
      </c>
    </row>
    <row r="77" spans="1:8" ht="21" thickBot="1">
      <c r="A77" s="18" t="s">
        <v>28</v>
      </c>
      <c r="C77" s="4"/>
      <c r="E77" s="293"/>
      <c r="F77" s="128">
        <f>+F71+F76</f>
        <v>43712522.11</v>
      </c>
      <c r="G77" s="16"/>
      <c r="H77" s="128">
        <f>+H71+H76</f>
        <v>43712522.11</v>
      </c>
    </row>
    <row r="78" spans="6:8" ht="21" thickTop="1">
      <c r="F78" s="119"/>
      <c r="H78" s="119"/>
    </row>
    <row r="87" spans="1:8" ht="21">
      <c r="A87" s="396" t="s">
        <v>376</v>
      </c>
      <c r="B87" s="396"/>
      <c r="C87" s="396"/>
      <c r="D87" s="396"/>
      <c r="F87" s="3"/>
      <c r="G87" s="3"/>
      <c r="H87" s="3"/>
    </row>
    <row r="88" spans="1:8" ht="21">
      <c r="A88" s="396" t="s">
        <v>0</v>
      </c>
      <c r="B88" s="396"/>
      <c r="C88" s="396"/>
      <c r="D88" s="396"/>
      <c r="F88" s="3"/>
      <c r="G88" s="3"/>
      <c r="H88" s="3"/>
    </row>
    <row r="89" spans="1:8" ht="21">
      <c r="A89" s="396" t="s">
        <v>425</v>
      </c>
      <c r="B89" s="396"/>
      <c r="C89" s="396"/>
      <c r="D89" s="396"/>
      <c r="F89" s="3"/>
      <c r="G89" s="3"/>
      <c r="H89" s="3"/>
    </row>
    <row r="90" spans="1:8" ht="21">
      <c r="A90" s="117"/>
      <c r="B90" s="117"/>
      <c r="C90" s="117"/>
      <c r="D90" s="117"/>
      <c r="F90" s="183"/>
      <c r="G90" s="217"/>
      <c r="H90" s="217"/>
    </row>
    <row r="91" spans="1:8" ht="21">
      <c r="A91" s="399" t="s">
        <v>1</v>
      </c>
      <c r="B91" s="399"/>
      <c r="C91" s="399"/>
      <c r="D91" s="399"/>
      <c r="E91" s="292"/>
      <c r="F91" s="3"/>
      <c r="G91" s="3"/>
      <c r="H91" s="3"/>
    </row>
    <row r="92" spans="1:8" ht="21">
      <c r="A92" s="118"/>
      <c r="B92" s="118"/>
      <c r="C92" s="118"/>
      <c r="D92" s="118"/>
      <c r="E92" s="292"/>
      <c r="F92" s="9" t="s">
        <v>60</v>
      </c>
      <c r="G92" s="218"/>
      <c r="H92" s="9" t="s">
        <v>60</v>
      </c>
    </row>
    <row r="93" spans="1:8" ht="21">
      <c r="A93" s="118"/>
      <c r="B93" s="118"/>
      <c r="C93" s="118"/>
      <c r="D93" s="118"/>
      <c r="E93" s="80" t="s">
        <v>181</v>
      </c>
      <c r="F93" s="3"/>
      <c r="G93" s="13" t="s">
        <v>181</v>
      </c>
      <c r="H93" s="3"/>
    </row>
    <row r="94" spans="1:8" ht="21">
      <c r="A94" s="118"/>
      <c r="B94" s="118"/>
      <c r="C94" s="118"/>
      <c r="D94" s="118"/>
      <c r="F94" s="184"/>
      <c r="H94" s="218"/>
    </row>
    <row r="95" spans="1:8" ht="21" thickBot="1">
      <c r="A95" s="2" t="s">
        <v>2</v>
      </c>
      <c r="B95" s="2"/>
      <c r="E95" s="80">
        <v>2</v>
      </c>
      <c r="F95" s="14">
        <v>38464834.12</v>
      </c>
      <c r="G95" s="13">
        <v>2</v>
      </c>
      <c r="H95" s="14">
        <v>38464834.12</v>
      </c>
    </row>
    <row r="96" spans="1:2" ht="21" thickTop="1">
      <c r="A96" s="2" t="s">
        <v>1</v>
      </c>
      <c r="B96" s="2"/>
    </row>
    <row r="97" spans="1:2" ht="21">
      <c r="A97" s="2"/>
      <c r="B97" s="10" t="s">
        <v>182</v>
      </c>
    </row>
    <row r="98" spans="3:8" ht="21">
      <c r="C98" s="4" t="s">
        <v>3</v>
      </c>
      <c r="E98" s="80">
        <v>3</v>
      </c>
      <c r="F98" s="5">
        <f>16869313.75+26617683.23+971824.92+3053760.89</f>
        <v>47512582.79000001</v>
      </c>
      <c r="G98" s="13">
        <v>3</v>
      </c>
      <c r="H98" s="5">
        <f>16869313.75+26617683.23+971824.92+3053760.89</f>
        <v>47512582.79000001</v>
      </c>
    </row>
    <row r="99" ht="21">
      <c r="C99" s="4" t="s">
        <v>4</v>
      </c>
    </row>
    <row r="100" ht="21">
      <c r="C100" s="4" t="s">
        <v>5</v>
      </c>
    </row>
    <row r="101" ht="21">
      <c r="C101" s="4" t="s">
        <v>8</v>
      </c>
    </row>
    <row r="102" spans="3:8" ht="21">
      <c r="C102" s="4" t="s">
        <v>381</v>
      </c>
      <c r="E102" s="80">
        <v>4</v>
      </c>
      <c r="F102" s="5">
        <v>35910</v>
      </c>
      <c r="G102" s="13">
        <v>4</v>
      </c>
      <c r="H102" s="5">
        <v>35910</v>
      </c>
    </row>
    <row r="103" spans="3:8" ht="21">
      <c r="C103" s="4" t="s">
        <v>6</v>
      </c>
      <c r="E103" s="80">
        <v>5</v>
      </c>
      <c r="F103" s="5">
        <v>0</v>
      </c>
      <c r="G103" s="13">
        <v>5</v>
      </c>
      <c r="H103" s="5">
        <v>0</v>
      </c>
    </row>
    <row r="104" spans="3:8" ht="21">
      <c r="C104" s="4" t="s">
        <v>183</v>
      </c>
      <c r="D104" s="4"/>
      <c r="E104" s="293">
        <v>6</v>
      </c>
      <c r="F104" s="5">
        <v>80312</v>
      </c>
      <c r="G104" s="16">
        <v>6</v>
      </c>
      <c r="H104" s="5">
        <v>80312</v>
      </c>
    </row>
    <row r="105" spans="3:8" ht="21">
      <c r="C105" s="4" t="s">
        <v>10</v>
      </c>
      <c r="D105" s="4"/>
      <c r="E105" s="293"/>
      <c r="F105" s="5">
        <v>1110000</v>
      </c>
      <c r="G105" s="16"/>
      <c r="H105" s="5">
        <v>1110000</v>
      </c>
    </row>
    <row r="106" spans="3:8" ht="21">
      <c r="C106" s="4" t="s">
        <v>11</v>
      </c>
      <c r="D106" s="4"/>
      <c r="E106" s="293">
        <v>7</v>
      </c>
      <c r="F106" s="5">
        <v>0</v>
      </c>
      <c r="G106" s="16">
        <v>7</v>
      </c>
      <c r="H106" s="5">
        <v>0</v>
      </c>
    </row>
    <row r="107" spans="3:8" ht="21">
      <c r="C107" s="4" t="s">
        <v>9</v>
      </c>
      <c r="F107" s="5">
        <v>35910</v>
      </c>
      <c r="H107" s="5">
        <v>35910</v>
      </c>
    </row>
    <row r="108" spans="3:8" ht="21">
      <c r="C108" s="4" t="s">
        <v>184</v>
      </c>
      <c r="E108" s="293">
        <v>8</v>
      </c>
      <c r="F108" s="5">
        <v>0</v>
      </c>
      <c r="G108" s="16">
        <v>8</v>
      </c>
      <c r="H108" s="5">
        <v>0</v>
      </c>
    </row>
    <row r="109" spans="3:8" ht="21">
      <c r="C109" s="10" t="s">
        <v>185</v>
      </c>
      <c r="E109" s="293"/>
      <c r="F109" s="17">
        <f>SUM(F98:F108)</f>
        <v>48774714.79000001</v>
      </c>
      <c r="G109" s="16"/>
      <c r="H109" s="17">
        <f>SUM(H98:H108)</f>
        <v>48774714.79000001</v>
      </c>
    </row>
    <row r="110" spans="3:7" ht="21">
      <c r="C110" s="4"/>
      <c r="E110" s="293"/>
      <c r="G110" s="16"/>
    </row>
    <row r="111" spans="2:7" ht="21">
      <c r="B111" s="10" t="s">
        <v>186</v>
      </c>
      <c r="C111" s="4"/>
      <c r="E111" s="293"/>
      <c r="G111" s="16"/>
    </row>
    <row r="112" ht="21">
      <c r="C112" s="4" t="s">
        <v>12</v>
      </c>
    </row>
    <row r="113" spans="3:8" ht="21">
      <c r="C113" s="4" t="s">
        <v>13</v>
      </c>
      <c r="E113" s="80">
        <v>2</v>
      </c>
      <c r="F113" s="5">
        <v>0</v>
      </c>
      <c r="G113" s="13">
        <v>2</v>
      </c>
      <c r="H113" s="5">
        <v>0</v>
      </c>
    </row>
    <row r="114" spans="3:8" ht="21">
      <c r="C114" s="2" t="s">
        <v>187</v>
      </c>
      <c r="E114" s="80">
        <v>9</v>
      </c>
      <c r="F114" s="5">
        <v>0</v>
      </c>
      <c r="G114" s="13">
        <v>9</v>
      </c>
      <c r="H114" s="5">
        <v>0</v>
      </c>
    </row>
    <row r="115" spans="3:8" ht="21">
      <c r="C115" s="10" t="s">
        <v>188</v>
      </c>
      <c r="F115" s="17">
        <f>SUM(F112:F114)</f>
        <v>0</v>
      </c>
      <c r="H115" s="17">
        <f>SUM(H112:H114)</f>
        <v>0</v>
      </c>
    </row>
    <row r="116" spans="1:8" ht="21" thickBot="1">
      <c r="A116" s="18" t="s">
        <v>14</v>
      </c>
      <c r="E116" s="293"/>
      <c r="F116" s="19">
        <f>+F109+F115</f>
        <v>48774714.79000001</v>
      </c>
      <c r="G116" s="16"/>
      <c r="H116" s="19">
        <f>+H109+H115</f>
        <v>48774714.79000001</v>
      </c>
    </row>
    <row r="117" ht="21" thickTop="1">
      <c r="C117" s="4"/>
    </row>
    <row r="118" ht="21">
      <c r="C118" s="4"/>
    </row>
    <row r="119" ht="21">
      <c r="C119" s="4"/>
    </row>
    <row r="120" ht="21">
      <c r="C120" s="4"/>
    </row>
    <row r="121" ht="21">
      <c r="C121" s="4"/>
    </row>
    <row r="122" ht="21">
      <c r="C122" s="4"/>
    </row>
    <row r="123" ht="21">
      <c r="C123" s="4"/>
    </row>
    <row r="124" ht="21">
      <c r="C124" s="4"/>
    </row>
    <row r="125" ht="21">
      <c r="C125" s="4"/>
    </row>
    <row r="126" ht="21">
      <c r="C126" s="4"/>
    </row>
    <row r="127" ht="21">
      <c r="C127" s="4"/>
    </row>
    <row r="128" ht="21">
      <c r="C128" s="4"/>
    </row>
    <row r="129" spans="1:8" ht="21">
      <c r="A129" s="396" t="str">
        <f>A87</f>
        <v>องค์การบริหารส่วนตำบลคอกควาย</v>
      </c>
      <c r="B129" s="396"/>
      <c r="C129" s="396"/>
      <c r="D129" s="396"/>
      <c r="F129" s="3"/>
      <c r="G129" s="3"/>
      <c r="H129" s="3"/>
    </row>
    <row r="130" spans="1:8" ht="21">
      <c r="A130" s="396" t="s">
        <v>0</v>
      </c>
      <c r="B130" s="396"/>
      <c r="C130" s="396"/>
      <c r="D130" s="396"/>
      <c r="F130" s="3"/>
      <c r="G130" s="3"/>
      <c r="H130" s="3"/>
    </row>
    <row r="131" spans="1:8" ht="21">
      <c r="A131" s="396" t="s">
        <v>423</v>
      </c>
      <c r="B131" s="396"/>
      <c r="C131" s="396"/>
      <c r="D131" s="396"/>
      <c r="F131" s="3"/>
      <c r="G131" s="3"/>
      <c r="H131" s="3"/>
    </row>
    <row r="132" spans="1:8" ht="21">
      <c r="A132" s="399" t="s">
        <v>30</v>
      </c>
      <c r="B132" s="399"/>
      <c r="C132" s="399"/>
      <c r="D132" s="399"/>
      <c r="E132" s="292"/>
      <c r="F132" s="3"/>
      <c r="G132" s="3"/>
      <c r="H132" s="3"/>
    </row>
    <row r="133" spans="1:8" ht="21">
      <c r="A133" s="118"/>
      <c r="B133" s="118"/>
      <c r="C133" s="118"/>
      <c r="D133" s="118"/>
      <c r="E133" s="292"/>
      <c r="F133" s="9" t="s">
        <v>60</v>
      </c>
      <c r="G133" s="218"/>
      <c r="H133" s="9" t="s">
        <v>60</v>
      </c>
    </row>
    <row r="134" spans="1:8" ht="21">
      <c r="A134" s="118"/>
      <c r="B134" s="118"/>
      <c r="C134" s="118"/>
      <c r="D134" s="118"/>
      <c r="E134" s="80" t="s">
        <v>181</v>
      </c>
      <c r="F134" s="3"/>
      <c r="G134" s="13" t="s">
        <v>181</v>
      </c>
      <c r="H134" s="3"/>
    </row>
    <row r="135" spans="1:8" ht="21">
      <c r="A135" s="118"/>
      <c r="B135" s="118"/>
      <c r="C135" s="118"/>
      <c r="D135" s="118"/>
      <c r="F135" s="184"/>
      <c r="H135" s="218"/>
    </row>
    <row r="136" spans="1:8" ht="21" thickBot="1">
      <c r="A136" s="10" t="s">
        <v>16</v>
      </c>
      <c r="B136" s="2"/>
      <c r="E136" s="80">
        <v>2</v>
      </c>
      <c r="F136" s="14">
        <v>37515484.12</v>
      </c>
      <c r="G136" s="13">
        <v>2</v>
      </c>
      <c r="H136" s="14">
        <v>37515484.12</v>
      </c>
    </row>
    <row r="137" spans="1:3" ht="21" thickTop="1">
      <c r="A137" s="4" t="s">
        <v>15</v>
      </c>
      <c r="B137" s="4"/>
      <c r="C137" s="2"/>
    </row>
    <row r="138" spans="1:3" ht="21">
      <c r="A138" s="4"/>
      <c r="B138" s="10" t="s">
        <v>189</v>
      </c>
      <c r="C138" s="2"/>
    </row>
    <row r="139" spans="1:8" ht="21">
      <c r="A139" s="4"/>
      <c r="B139" s="10"/>
      <c r="C139" s="4" t="s">
        <v>18</v>
      </c>
      <c r="E139" s="80">
        <v>10</v>
      </c>
      <c r="F139" s="5">
        <v>3257900</v>
      </c>
      <c r="G139" s="13">
        <v>10</v>
      </c>
      <c r="H139" s="5">
        <v>3257900</v>
      </c>
    </row>
    <row r="140" spans="1:7" ht="21">
      <c r="A140" s="4"/>
      <c r="B140" s="10"/>
      <c r="C140" s="4" t="s">
        <v>19</v>
      </c>
      <c r="E140" s="80">
        <v>11</v>
      </c>
      <c r="G140" s="13">
        <v>11</v>
      </c>
    </row>
    <row r="141" spans="1:3" ht="21">
      <c r="A141" s="4"/>
      <c r="B141" s="10"/>
      <c r="C141" s="4" t="s">
        <v>20</v>
      </c>
    </row>
    <row r="142" spans="1:8" ht="21">
      <c r="A142" s="4"/>
      <c r="B142" s="10"/>
      <c r="C142" s="4" t="s">
        <v>17</v>
      </c>
      <c r="E142" s="80">
        <v>12</v>
      </c>
      <c r="F142" s="5">
        <v>2969148.6</v>
      </c>
      <c r="G142" s="13">
        <v>12</v>
      </c>
      <c r="H142" s="5">
        <v>2969148.6</v>
      </c>
    </row>
    <row r="143" spans="3:7" ht="21">
      <c r="C143" s="2" t="s">
        <v>22</v>
      </c>
      <c r="E143" s="80">
        <v>13</v>
      </c>
      <c r="G143" s="13">
        <v>13</v>
      </c>
    </row>
    <row r="144" spans="3:8" ht="21">
      <c r="C144" s="10" t="s">
        <v>190</v>
      </c>
      <c r="F144" s="17">
        <f>SUM(F139:F143)</f>
        <v>6227048.6</v>
      </c>
      <c r="H144" s="17">
        <f>SUM(H139:H143)</f>
        <v>6227048.6</v>
      </c>
    </row>
    <row r="146" ht="21">
      <c r="B146" s="10" t="s">
        <v>191</v>
      </c>
    </row>
    <row r="147" spans="3:8" ht="21">
      <c r="C147" s="4" t="s">
        <v>21</v>
      </c>
      <c r="E147" s="80">
        <v>14</v>
      </c>
      <c r="F147" s="5">
        <v>0</v>
      </c>
      <c r="G147" s="13">
        <v>14</v>
      </c>
      <c r="H147" s="5">
        <v>0</v>
      </c>
    </row>
    <row r="148" spans="3:8" ht="21">
      <c r="C148" s="3" t="s">
        <v>23</v>
      </c>
      <c r="E148" s="80">
        <v>15</v>
      </c>
      <c r="F148" s="5">
        <v>0</v>
      </c>
      <c r="G148" s="13">
        <v>15</v>
      </c>
      <c r="H148" s="5">
        <v>0</v>
      </c>
    </row>
    <row r="149" spans="3:8" ht="21">
      <c r="C149" s="3" t="s">
        <v>386</v>
      </c>
      <c r="F149" s="5">
        <v>35910</v>
      </c>
      <c r="H149" s="5">
        <v>35910</v>
      </c>
    </row>
    <row r="150" spans="3:8" ht="21">
      <c r="C150" s="10" t="s">
        <v>192</v>
      </c>
      <c r="F150" s="17">
        <f>SUM(F147:F149)</f>
        <v>35910</v>
      </c>
      <c r="H150" s="17">
        <f>SUM(H147:H149)</f>
        <v>35910</v>
      </c>
    </row>
    <row r="151" ht="21">
      <c r="B151" s="8" t="s">
        <v>24</v>
      </c>
    </row>
    <row r="152" ht="21">
      <c r="B152" s="8"/>
    </row>
    <row r="153" ht="21">
      <c r="A153" s="3" t="s">
        <v>25</v>
      </c>
    </row>
    <row r="154" spans="3:8" ht="21">
      <c r="C154" s="4" t="s">
        <v>25</v>
      </c>
      <c r="E154" s="80">
        <v>16</v>
      </c>
      <c r="F154" s="115">
        <v>30922026.66</v>
      </c>
      <c r="G154" s="13">
        <v>16</v>
      </c>
      <c r="H154" s="115">
        <v>30922026.66</v>
      </c>
    </row>
    <row r="155" spans="3:8" ht="21">
      <c r="C155" s="4" t="s">
        <v>26</v>
      </c>
      <c r="E155" s="80">
        <v>17</v>
      </c>
      <c r="F155" s="115">
        <v>937618.73</v>
      </c>
      <c r="G155" s="13">
        <v>17</v>
      </c>
      <c r="H155" s="115">
        <v>937618.73</v>
      </c>
    </row>
    <row r="156" spans="3:8" ht="21">
      <c r="C156" s="18" t="s">
        <v>27</v>
      </c>
      <c r="F156" s="17">
        <f>SUM(F154:F155)</f>
        <v>31859645.39</v>
      </c>
      <c r="H156" s="17">
        <f>SUM(H154:H155)</f>
        <v>31859645.39</v>
      </c>
    </row>
    <row r="157" spans="1:8" ht="21" thickBot="1">
      <c r="A157" s="18" t="s">
        <v>28</v>
      </c>
      <c r="C157" s="4"/>
      <c r="E157" s="293"/>
      <c r="F157" s="19">
        <f>+F144+F150+F156</f>
        <v>38122603.99</v>
      </c>
      <c r="G157" s="16"/>
      <c r="H157" s="19">
        <f>+H144+H150+H156</f>
        <v>38122603.99</v>
      </c>
    </row>
    <row r="158" spans="6:8" ht="21" thickTop="1">
      <c r="F158" s="5">
        <f>+F116-F157</f>
        <v>10652110.800000004</v>
      </c>
      <c r="H158" s="5">
        <f>+H116-H157</f>
        <v>10652110.800000004</v>
      </c>
    </row>
    <row r="159" spans="6:8" ht="21">
      <c r="F159" s="5">
        <f>+F95-F136</f>
        <v>949350</v>
      </c>
      <c r="H159" s="5">
        <f>+H95-H136</f>
        <v>949350</v>
      </c>
    </row>
    <row r="171" spans="1:8" ht="21">
      <c r="A171" s="396" t="s">
        <v>376</v>
      </c>
      <c r="B171" s="396"/>
      <c r="C171" s="396"/>
      <c r="D171" s="396"/>
      <c r="F171" s="3"/>
      <c r="G171" s="3"/>
      <c r="H171" s="3"/>
    </row>
    <row r="172" spans="1:8" ht="21">
      <c r="A172" s="396" t="s">
        <v>0</v>
      </c>
      <c r="B172" s="396"/>
      <c r="C172" s="396"/>
      <c r="D172" s="396"/>
      <c r="F172" s="3"/>
      <c r="G172" s="3"/>
      <c r="H172" s="3"/>
    </row>
    <row r="173" spans="1:8" ht="21">
      <c r="A173" s="396" t="s">
        <v>425</v>
      </c>
      <c r="B173" s="396"/>
      <c r="C173" s="396"/>
      <c r="D173" s="396"/>
      <c r="F173" s="3"/>
      <c r="G173" s="3"/>
      <c r="H173" s="3"/>
    </row>
    <row r="174" spans="1:8" ht="21">
      <c r="A174" s="396" t="s">
        <v>1</v>
      </c>
      <c r="B174" s="396"/>
      <c r="C174" s="396"/>
      <c r="D174" s="396"/>
      <c r="F174" s="3"/>
      <c r="G174" s="3"/>
      <c r="H174" s="3"/>
    </row>
    <row r="175" spans="1:8" ht="21">
      <c r="A175" s="177"/>
      <c r="B175" s="177"/>
      <c r="C175" s="177"/>
      <c r="D175" s="177"/>
      <c r="E175" s="292"/>
      <c r="F175" s="9" t="s">
        <v>60</v>
      </c>
      <c r="G175" s="218"/>
      <c r="H175" s="9" t="s">
        <v>60</v>
      </c>
    </row>
    <row r="176" spans="1:8" ht="21">
      <c r="A176" s="177"/>
      <c r="B176" s="177"/>
      <c r="C176" s="177"/>
      <c r="D176" s="177"/>
      <c r="E176" s="80" t="s">
        <v>181</v>
      </c>
      <c r="F176" s="3"/>
      <c r="G176" s="13" t="s">
        <v>181</v>
      </c>
      <c r="H176" s="3"/>
    </row>
    <row r="177" spans="1:8" ht="21">
      <c r="A177" s="177"/>
      <c r="B177" s="177"/>
      <c r="C177" s="177"/>
      <c r="D177" s="177"/>
      <c r="F177" s="184"/>
      <c r="H177" s="218"/>
    </row>
    <row r="178" spans="1:8" ht="21" thickBot="1">
      <c r="A178" s="2" t="s">
        <v>2</v>
      </c>
      <c r="B178" s="2"/>
      <c r="E178" s="80">
        <v>2</v>
      </c>
      <c r="F178" s="14">
        <f>37515484.12+76100</f>
        <v>37591584.12</v>
      </c>
      <c r="G178" s="13">
        <v>2</v>
      </c>
      <c r="H178" s="14">
        <f>37515484.12+76100</f>
        <v>37591584.12</v>
      </c>
    </row>
    <row r="179" spans="1:2" ht="21" thickTop="1">
      <c r="A179" s="2" t="s">
        <v>1</v>
      </c>
      <c r="B179" s="2"/>
    </row>
    <row r="180" spans="1:2" ht="21">
      <c r="A180" s="2"/>
      <c r="B180" s="10" t="s">
        <v>182</v>
      </c>
    </row>
    <row r="181" spans="3:8" ht="21">
      <c r="C181" s="4" t="s">
        <v>3</v>
      </c>
      <c r="E181" s="80">
        <v>3</v>
      </c>
      <c r="F181" s="5">
        <v>42750390.11</v>
      </c>
      <c r="G181" s="13">
        <v>3</v>
      </c>
      <c r="H181" s="5">
        <v>42750390.11</v>
      </c>
    </row>
    <row r="182" spans="3:8" ht="21">
      <c r="C182" s="4" t="s">
        <v>381</v>
      </c>
      <c r="E182" s="80">
        <v>4</v>
      </c>
      <c r="F182" s="5">
        <v>35910</v>
      </c>
      <c r="G182" s="13">
        <v>4</v>
      </c>
      <c r="H182" s="5">
        <v>35910</v>
      </c>
    </row>
    <row r="183" spans="3:8" ht="21">
      <c r="C183" s="4" t="s">
        <v>183</v>
      </c>
      <c r="D183" s="4"/>
      <c r="E183" s="293">
        <v>5</v>
      </c>
      <c r="F183" s="5">
        <v>80312</v>
      </c>
      <c r="G183" s="16">
        <v>5</v>
      </c>
      <c r="H183" s="5">
        <v>80312</v>
      </c>
    </row>
    <row r="184" spans="3:8" ht="21">
      <c r="C184" s="4" t="s">
        <v>10</v>
      </c>
      <c r="D184" s="4"/>
      <c r="E184" s="293"/>
      <c r="F184" s="5">
        <v>810000</v>
      </c>
      <c r="G184" s="16"/>
      <c r="H184" s="5">
        <v>810000</v>
      </c>
    </row>
    <row r="185" spans="3:8" ht="21">
      <c r="C185" s="4" t="s">
        <v>9</v>
      </c>
      <c r="E185" s="80">
        <v>6</v>
      </c>
      <c r="F185" s="5">
        <v>35910</v>
      </c>
      <c r="G185" s="13">
        <v>6</v>
      </c>
      <c r="H185" s="5">
        <v>35910</v>
      </c>
    </row>
    <row r="186" spans="3:8" ht="21">
      <c r="C186" s="10" t="s">
        <v>185</v>
      </c>
      <c r="E186" s="293"/>
      <c r="F186" s="17">
        <f>SUM(F181:F185)</f>
        <v>43712522.11</v>
      </c>
      <c r="G186" s="16"/>
      <c r="H186" s="17">
        <f>SUM(H181:H185)</f>
        <v>43712522.11</v>
      </c>
    </row>
    <row r="187" spans="1:8" ht="21" thickBot="1">
      <c r="A187" s="18" t="s">
        <v>14</v>
      </c>
      <c r="E187" s="293"/>
      <c r="F187" s="19">
        <f>+F186</f>
        <v>43712522.11</v>
      </c>
      <c r="G187" s="16"/>
      <c r="H187" s="19">
        <f>+H186</f>
        <v>43712522.11</v>
      </c>
    </row>
    <row r="188" spans="1:8" ht="24" thickTop="1">
      <c r="A188" s="398" t="s">
        <v>30</v>
      </c>
      <c r="B188" s="398"/>
      <c r="C188" s="398"/>
      <c r="D188" s="398"/>
      <c r="E188" s="294"/>
      <c r="F188" s="3"/>
      <c r="G188" s="3"/>
      <c r="H188" s="3"/>
    </row>
    <row r="189" spans="1:8" ht="21">
      <c r="A189" s="177"/>
      <c r="B189" s="177"/>
      <c r="C189" s="177"/>
      <c r="D189" s="177"/>
      <c r="E189" s="292"/>
      <c r="F189" s="9" t="s">
        <v>60</v>
      </c>
      <c r="G189" s="218"/>
      <c r="H189" s="9" t="s">
        <v>60</v>
      </c>
    </row>
    <row r="190" spans="1:8" ht="21">
      <c r="A190" s="177"/>
      <c r="B190" s="177"/>
      <c r="C190" s="177"/>
      <c r="D190" s="177"/>
      <c r="E190" s="80" t="s">
        <v>181</v>
      </c>
      <c r="F190" s="3"/>
      <c r="G190" s="13" t="s">
        <v>181</v>
      </c>
      <c r="H190" s="3"/>
    </row>
    <row r="191" spans="1:8" ht="21" thickBot="1">
      <c r="A191" s="10" t="s">
        <v>16</v>
      </c>
      <c r="B191" s="2"/>
      <c r="E191" s="80">
        <v>2</v>
      </c>
      <c r="F191" s="14">
        <f>37515484.12+76100</f>
        <v>37591584.12</v>
      </c>
      <c r="G191" s="13">
        <v>2</v>
      </c>
      <c r="H191" s="14">
        <f>37515484.12+76100</f>
        <v>37591584.12</v>
      </c>
    </row>
    <row r="192" spans="1:3" ht="21" thickTop="1">
      <c r="A192" s="4" t="s">
        <v>15</v>
      </c>
      <c r="B192" s="4"/>
      <c r="C192" s="2"/>
    </row>
    <row r="193" spans="1:3" ht="21">
      <c r="A193" s="4"/>
      <c r="B193" s="10" t="s">
        <v>189</v>
      </c>
      <c r="C193" s="2"/>
    </row>
    <row r="194" spans="1:8" ht="21">
      <c r="A194" s="4"/>
      <c r="B194" s="10"/>
      <c r="C194" s="4" t="s">
        <v>18</v>
      </c>
      <c r="E194" s="80">
        <v>7</v>
      </c>
      <c r="F194" s="5">
        <f>1710600+1997300</f>
        <v>3707900</v>
      </c>
      <c r="G194" s="13">
        <v>7</v>
      </c>
      <c r="H194" s="5">
        <f>1710600+1997300</f>
        <v>3707900</v>
      </c>
    </row>
    <row r="195" spans="1:8" ht="21">
      <c r="A195" s="4"/>
      <c r="B195" s="10"/>
      <c r="C195" s="4" t="s">
        <v>17</v>
      </c>
      <c r="E195" s="80">
        <v>8</v>
      </c>
      <c r="F195" s="5">
        <v>2546548.6</v>
      </c>
      <c r="G195" s="13">
        <v>8</v>
      </c>
      <c r="H195" s="5">
        <v>2546548.6</v>
      </c>
    </row>
    <row r="196" spans="3:8" ht="21">
      <c r="C196" s="4" t="s">
        <v>386</v>
      </c>
      <c r="F196" s="5">
        <v>35910</v>
      </c>
      <c r="H196" s="5">
        <v>35910</v>
      </c>
    </row>
    <row r="197" spans="3:8" ht="21">
      <c r="C197" s="10" t="s">
        <v>190</v>
      </c>
      <c r="F197" s="17">
        <f>SUM(F194:F196)</f>
        <v>6290358.6</v>
      </c>
      <c r="H197" s="17">
        <f>SUM(H194:H196)</f>
        <v>6290358.6</v>
      </c>
    </row>
    <row r="198" ht="21">
      <c r="B198" s="8" t="s">
        <v>24</v>
      </c>
    </row>
    <row r="199" ht="21">
      <c r="A199" s="3" t="s">
        <v>25</v>
      </c>
    </row>
    <row r="200" spans="3:8" ht="21">
      <c r="C200" s="4" t="s">
        <v>25</v>
      </c>
      <c r="E200" s="80">
        <v>9</v>
      </c>
      <c r="F200" s="115">
        <v>22250099.16</v>
      </c>
      <c r="G200" s="13">
        <v>9</v>
      </c>
      <c r="H200" s="115">
        <v>22250099.16</v>
      </c>
    </row>
    <row r="201" spans="3:8" ht="21">
      <c r="C201" s="4" t="s">
        <v>26</v>
      </c>
      <c r="F201" s="115">
        <f>14237723.12+934341.23</f>
        <v>15172064.35</v>
      </c>
      <c r="H201" s="115">
        <f>14237723.12+934341.23</f>
        <v>15172064.35</v>
      </c>
    </row>
    <row r="202" spans="3:8" ht="21">
      <c r="C202" s="18" t="s">
        <v>27</v>
      </c>
      <c r="F202" s="127">
        <f>SUM(F200:F201)</f>
        <v>37422163.51</v>
      </c>
      <c r="H202" s="127">
        <f>SUM(H200:H201)</f>
        <v>37422163.51</v>
      </c>
    </row>
    <row r="203" spans="1:8" ht="21" thickBot="1">
      <c r="A203" s="18" t="s">
        <v>28</v>
      </c>
      <c r="C203" s="4"/>
      <c r="E203" s="293"/>
      <c r="F203" s="128">
        <f>+F197+F202</f>
        <v>43712522.11</v>
      </c>
      <c r="G203" s="16"/>
      <c r="H203" s="128">
        <f>+H197+H202</f>
        <v>43712522.11</v>
      </c>
    </row>
    <row r="204" spans="6:8" ht="21" thickTop="1">
      <c r="F204" s="119"/>
      <c r="H204" s="119"/>
    </row>
  </sheetData>
  <sheetProtection/>
  <mergeCells count="25">
    <mergeCell ref="A173:D173"/>
    <mergeCell ref="A174:D174"/>
    <mergeCell ref="A188:D188"/>
    <mergeCell ref="A62:D62"/>
    <mergeCell ref="A132:D132"/>
    <mergeCell ref="A87:D87"/>
    <mergeCell ref="A88:D88"/>
    <mergeCell ref="A89:D89"/>
    <mergeCell ref="A171:D171"/>
    <mergeCell ref="A131:D131"/>
    <mergeCell ref="A45:I45"/>
    <mergeCell ref="A172:D172"/>
    <mergeCell ref="A48:D48"/>
    <mergeCell ref="A91:D91"/>
    <mergeCell ref="A129:D129"/>
    <mergeCell ref="A130:D130"/>
    <mergeCell ref="A46:I46"/>
    <mergeCell ref="A47:I47"/>
    <mergeCell ref="L6:T6"/>
    <mergeCell ref="E42:F42"/>
    <mergeCell ref="A21:D21"/>
    <mergeCell ref="A1:I1"/>
    <mergeCell ref="A2:I2"/>
    <mergeCell ref="A3:I3"/>
    <mergeCell ref="A4:I4"/>
  </mergeCells>
  <printOptions/>
  <pageMargins left="0.9822916666666667" right="0.5118110236220472" top="0.7480314960629921" bottom="0.7480314960629921" header="0.31496062992125984" footer="0.31496062992125984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"/>
  <sheetViews>
    <sheetView zoomScalePageLayoutView="0" workbookViewId="0" topLeftCell="A16">
      <selection activeCell="L6" sqref="L6"/>
    </sheetView>
  </sheetViews>
  <sheetFormatPr defaultColWidth="9.00390625" defaultRowHeight="15"/>
  <cols>
    <col min="1" max="1" width="5.140625" style="7" customWidth="1"/>
    <col min="2" max="2" width="11.7109375" style="7" bestFit="1" customWidth="1"/>
    <col min="3" max="5" width="9.00390625" style="7" customWidth="1"/>
    <col min="6" max="6" width="5.421875" style="7" customWidth="1"/>
    <col min="7" max="7" width="11.00390625" style="7" customWidth="1"/>
    <col min="8" max="8" width="7.57421875" style="7" customWidth="1"/>
    <col min="9" max="9" width="12.140625" style="7" customWidth="1"/>
    <col min="10" max="10" width="9.00390625" style="7" customWidth="1"/>
    <col min="11" max="11" width="15.140625" style="7" customWidth="1"/>
    <col min="12" max="16384" width="9.00390625" style="7" customWidth="1"/>
  </cols>
  <sheetData>
    <row r="1" spans="1:9" ht="21">
      <c r="A1" s="412" t="str">
        <f>+งบแสดงฐานะการเงิน!A1</f>
        <v>องค์การบริหารส่วนตำบลคอกควาย</v>
      </c>
      <c r="B1" s="412"/>
      <c r="C1" s="412"/>
      <c r="D1" s="412"/>
      <c r="E1" s="412"/>
      <c r="F1" s="412"/>
      <c r="G1" s="412"/>
      <c r="H1" s="412"/>
      <c r="I1" s="412"/>
    </row>
    <row r="2" spans="1:9" ht="21">
      <c r="A2" s="412" t="s">
        <v>194</v>
      </c>
      <c r="B2" s="412"/>
      <c r="C2" s="412"/>
      <c r="D2" s="412"/>
      <c r="E2" s="412"/>
      <c r="F2" s="412"/>
      <c r="G2" s="412"/>
      <c r="H2" s="412"/>
      <c r="I2" s="412"/>
    </row>
    <row r="3" spans="1:9" ht="21">
      <c r="A3" s="412" t="str">
        <f>+'หมายเหตุ 3'!A3:F3</f>
        <v>สำหรับปี สิ้นสุดวันที่      30      กันยายน  2561</v>
      </c>
      <c r="B3" s="412"/>
      <c r="C3" s="412"/>
      <c r="D3" s="412"/>
      <c r="E3" s="412"/>
      <c r="F3" s="412"/>
      <c r="G3" s="412"/>
      <c r="H3" s="412"/>
      <c r="I3" s="412"/>
    </row>
    <row r="4" spans="7:9" ht="21">
      <c r="G4" s="270"/>
      <c r="I4" s="270"/>
    </row>
    <row r="5" spans="1:9" ht="21">
      <c r="A5" s="186" t="s">
        <v>575</v>
      </c>
      <c r="B5" s="188"/>
      <c r="C5" s="188"/>
      <c r="D5" s="188"/>
      <c r="E5" s="188"/>
      <c r="F5" s="188"/>
      <c r="G5" s="270">
        <v>2561</v>
      </c>
      <c r="I5" s="270">
        <v>2560</v>
      </c>
    </row>
    <row r="6" spans="1:9" ht="21">
      <c r="A6" s="188"/>
      <c r="B6" s="188"/>
      <c r="C6" s="188"/>
      <c r="D6" s="188"/>
      <c r="E6" s="188"/>
      <c r="F6" s="188"/>
      <c r="G6" s="189"/>
      <c r="H6" s="188"/>
      <c r="I6" s="189"/>
    </row>
    <row r="7" spans="1:9" ht="21">
      <c r="A7" s="188"/>
      <c r="B7" s="188" t="s">
        <v>203</v>
      </c>
      <c r="C7" s="188"/>
      <c r="D7" s="188"/>
      <c r="E7" s="188"/>
      <c r="F7" s="188"/>
      <c r="G7" s="189">
        <v>472901</v>
      </c>
      <c r="H7" s="188"/>
      <c r="I7" s="189">
        <v>518774</v>
      </c>
    </row>
    <row r="8" spans="1:9" ht="21">
      <c r="A8" s="188"/>
      <c r="B8" s="188" t="s">
        <v>382</v>
      </c>
      <c r="C8" s="188"/>
      <c r="D8" s="188"/>
      <c r="E8" s="188"/>
      <c r="F8" s="188"/>
      <c r="G8" s="189">
        <v>3143.34</v>
      </c>
      <c r="H8" s="188"/>
      <c r="I8" s="189">
        <v>3143.34</v>
      </c>
    </row>
    <row r="9" spans="1:9" ht="21">
      <c r="A9" s="188"/>
      <c r="B9" s="188" t="s">
        <v>383</v>
      </c>
      <c r="C9" s="188"/>
      <c r="D9" s="188"/>
      <c r="E9" s="188"/>
      <c r="F9" s="188"/>
      <c r="G9" s="189">
        <v>33165.12</v>
      </c>
      <c r="H9" s="188"/>
      <c r="I9" s="189">
        <v>29244.6</v>
      </c>
    </row>
    <row r="10" spans="1:9" ht="21">
      <c r="A10" s="188"/>
      <c r="B10" s="188" t="s">
        <v>384</v>
      </c>
      <c r="C10" s="188"/>
      <c r="D10" s="188"/>
      <c r="E10" s="188"/>
      <c r="F10" s="188"/>
      <c r="G10" s="208">
        <f>2518186.92-830000</f>
        <v>1688186.92</v>
      </c>
      <c r="H10" s="188"/>
      <c r="I10" s="189">
        <f>2081824.92-400000</f>
        <v>1681824.92</v>
      </c>
    </row>
    <row r="11" spans="1:9" ht="21">
      <c r="A11" s="188"/>
      <c r="B11" s="188" t="s">
        <v>459</v>
      </c>
      <c r="C11" s="188"/>
      <c r="D11" s="188"/>
      <c r="E11" s="188"/>
      <c r="F11" s="188"/>
      <c r="G11" s="189">
        <v>395100</v>
      </c>
      <c r="H11" s="188"/>
      <c r="I11" s="189">
        <v>0</v>
      </c>
    </row>
    <row r="12" spans="1:11" ht="21">
      <c r="A12" s="188"/>
      <c r="B12" s="188" t="s">
        <v>385</v>
      </c>
      <c r="C12" s="188"/>
      <c r="D12" s="188"/>
      <c r="E12" s="188"/>
      <c r="F12" s="188"/>
      <c r="G12" s="208">
        <f>89100+16800+52600+139000+3200+28000+2700+119651</f>
        <v>451051</v>
      </c>
      <c r="H12" s="188"/>
      <c r="I12" s="208">
        <v>331400</v>
      </c>
      <c r="K12" s="181" t="e">
        <f>#REF!+#REF!+#REF!+#REF!+#REF!+89100+16800+52600+139000+3200+28000+2700</f>
        <v>#REF!</v>
      </c>
    </row>
    <row r="13" spans="1:9" ht="21" thickBot="1">
      <c r="A13" s="427" t="s">
        <v>196</v>
      </c>
      <c r="B13" s="427"/>
      <c r="C13" s="427"/>
      <c r="D13" s="427"/>
      <c r="E13" s="427"/>
      <c r="F13" s="427"/>
      <c r="G13" s="190">
        <f>G7+G8+G9+G10+G11+G12</f>
        <v>3043547.38</v>
      </c>
      <c r="H13" s="188"/>
      <c r="I13" s="190">
        <f>I7+I8+I9+I10+I11+I12</f>
        <v>2564386.86</v>
      </c>
    </row>
    <row r="14" spans="1:9" ht="21" thickTop="1">
      <c r="A14" s="188"/>
      <c r="B14" s="188"/>
      <c r="C14" s="188"/>
      <c r="D14" s="188"/>
      <c r="E14" s="188"/>
      <c r="F14" s="188"/>
      <c r="G14" s="188"/>
      <c r="H14" s="188"/>
      <c r="I14" s="188"/>
    </row>
    <row r="15" spans="1:9" ht="21">
      <c r="A15" s="188"/>
      <c r="B15" s="188"/>
      <c r="C15" s="188"/>
      <c r="D15" s="188"/>
      <c r="E15" s="188"/>
      <c r="F15" s="188"/>
      <c r="G15" s="188"/>
      <c r="H15" s="188"/>
      <c r="I15" s="188"/>
    </row>
  </sheetData>
  <sheetProtection/>
  <mergeCells count="4">
    <mergeCell ref="A1:I1"/>
    <mergeCell ref="A2:I2"/>
    <mergeCell ref="A3:I3"/>
    <mergeCell ref="A13:F13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91"/>
  <sheetViews>
    <sheetView zoomScale="110" zoomScaleNormal="110" zoomScalePageLayoutView="0" workbookViewId="0" topLeftCell="A73">
      <selection activeCell="G91" sqref="G91"/>
    </sheetView>
  </sheetViews>
  <sheetFormatPr defaultColWidth="9.00390625" defaultRowHeight="15"/>
  <cols>
    <col min="1" max="1" width="2.140625" style="7" customWidth="1"/>
    <col min="2" max="2" width="3.8515625" style="7" customWidth="1"/>
    <col min="3" max="3" width="39.421875" style="7" customWidth="1"/>
    <col min="4" max="4" width="10.57421875" style="7" customWidth="1"/>
    <col min="5" max="5" width="10.140625" style="7" customWidth="1"/>
    <col min="6" max="6" width="9.7109375" style="7" customWidth="1"/>
    <col min="7" max="7" width="10.57421875" style="7" customWidth="1"/>
    <col min="8" max="8" width="10.140625" style="7" customWidth="1"/>
    <col min="9" max="9" width="10.421875" style="7" customWidth="1"/>
    <col min="10" max="10" width="16.7109375" style="7" customWidth="1"/>
    <col min="11" max="16384" width="9.00390625" style="7" customWidth="1"/>
  </cols>
  <sheetData>
    <row r="1" spans="1:9" ht="21">
      <c r="A1" s="412" t="str">
        <f>+งบแสดงฐานะการเงิน!A1</f>
        <v>องค์การบริหารส่วนตำบลคอกควาย</v>
      </c>
      <c r="B1" s="412"/>
      <c r="C1" s="412"/>
      <c r="D1" s="412"/>
      <c r="E1" s="412"/>
      <c r="F1" s="412"/>
      <c r="G1" s="412"/>
      <c r="H1" s="412"/>
      <c r="I1" s="412"/>
    </row>
    <row r="2" spans="1:9" ht="21">
      <c r="A2" s="412" t="s">
        <v>194</v>
      </c>
      <c r="B2" s="412"/>
      <c r="C2" s="412"/>
      <c r="D2" s="412"/>
      <c r="E2" s="412"/>
      <c r="F2" s="412"/>
      <c r="G2" s="412"/>
      <c r="H2" s="412"/>
      <c r="I2" s="412"/>
    </row>
    <row r="3" spans="1:9" ht="21">
      <c r="A3" s="412" t="str">
        <f>+'หมายเหตุ 3'!A3:F3</f>
        <v>สำหรับปี สิ้นสุดวันที่      30      กันยายน  2561</v>
      </c>
      <c r="B3" s="412"/>
      <c r="C3" s="412"/>
      <c r="D3" s="412"/>
      <c r="E3" s="412"/>
      <c r="F3" s="412"/>
      <c r="G3" s="412"/>
      <c r="H3" s="412"/>
      <c r="I3" s="412"/>
    </row>
    <row r="4" spans="4:9" ht="21">
      <c r="D4" s="429"/>
      <c r="E4" s="429"/>
      <c r="F4" s="429"/>
      <c r="G4" s="247"/>
      <c r="H4" s="247"/>
      <c r="I4" s="247"/>
    </row>
    <row r="5" spans="1:9" ht="21">
      <c r="A5" s="23" t="s">
        <v>576</v>
      </c>
      <c r="B5" s="187"/>
      <c r="C5" s="187"/>
      <c r="D5" s="248"/>
      <c r="E5" s="234"/>
      <c r="F5" s="234"/>
      <c r="G5" s="234"/>
      <c r="H5" s="234"/>
      <c r="I5" s="234"/>
    </row>
    <row r="6" spans="1:9" ht="21">
      <c r="A6" s="35"/>
      <c r="B6" s="194"/>
      <c r="C6" s="194"/>
      <c r="D6" s="430">
        <v>2561</v>
      </c>
      <c r="E6" s="431"/>
      <c r="F6" s="432"/>
      <c r="G6" s="273"/>
      <c r="H6" s="275">
        <v>2560</v>
      </c>
      <c r="I6" s="274"/>
    </row>
    <row r="7" spans="1:9" ht="21">
      <c r="A7" s="228"/>
      <c r="B7" s="229"/>
      <c r="C7" s="229"/>
      <c r="D7" s="235"/>
      <c r="E7" s="197"/>
      <c r="F7" s="236"/>
      <c r="G7" s="235"/>
      <c r="H7" s="197"/>
      <c r="I7" s="236"/>
    </row>
    <row r="8" spans="1:9" ht="21">
      <c r="A8" s="230"/>
      <c r="B8" s="428" t="s">
        <v>457</v>
      </c>
      <c r="C8" s="428"/>
      <c r="D8" s="237"/>
      <c r="E8" s="203"/>
      <c r="F8" s="238">
        <v>25734141.56</v>
      </c>
      <c r="G8" s="237"/>
      <c r="H8" s="203"/>
      <c r="I8" s="238">
        <v>22250099.16</v>
      </c>
    </row>
    <row r="9" spans="1:9" ht="21">
      <c r="A9" s="230"/>
      <c r="B9" s="249"/>
      <c r="C9" s="249" t="s">
        <v>204</v>
      </c>
      <c r="D9" s="239">
        <v>10017820.25</v>
      </c>
      <c r="E9" s="203"/>
      <c r="F9" s="238"/>
      <c r="G9" s="239">
        <v>7093912.09</v>
      </c>
      <c r="H9" s="203"/>
      <c r="I9" s="238"/>
    </row>
    <row r="10" spans="1:9" ht="21">
      <c r="A10" s="230"/>
      <c r="B10" s="250"/>
      <c r="C10" s="231" t="s">
        <v>500</v>
      </c>
      <c r="D10" s="240">
        <v>2504455.06</v>
      </c>
      <c r="E10" s="202"/>
      <c r="F10" s="238"/>
      <c r="G10" s="240">
        <v>1773478.02</v>
      </c>
      <c r="H10" s="202"/>
      <c r="I10" s="238"/>
    </row>
    <row r="11" spans="1:9" ht="21">
      <c r="A11" s="230"/>
      <c r="B11" s="250" t="s">
        <v>205</v>
      </c>
      <c r="C11" s="249" t="s">
        <v>206</v>
      </c>
      <c r="D11" s="237"/>
      <c r="E11" s="204">
        <f>D9-D10</f>
        <v>7513365.1899999995</v>
      </c>
      <c r="F11" s="238"/>
      <c r="G11" s="237"/>
      <c r="H11" s="204">
        <f>G9-G10</f>
        <v>5320434.07</v>
      </c>
      <c r="I11" s="238"/>
    </row>
    <row r="12" spans="1:9" ht="21">
      <c r="A12" s="230"/>
      <c r="B12" s="250"/>
      <c r="C12" s="249" t="s">
        <v>18</v>
      </c>
      <c r="D12" s="235"/>
      <c r="E12" s="203">
        <f>103439+491263.53-6</f>
        <v>594696.53</v>
      </c>
      <c r="F12" s="238"/>
      <c r="G12" s="235"/>
      <c r="H12" s="203">
        <v>401993.33</v>
      </c>
      <c r="I12" s="238"/>
    </row>
    <row r="13" spans="1:9" ht="21">
      <c r="A13" s="230"/>
      <c r="B13" s="250"/>
      <c r="C13" s="249" t="s">
        <v>625</v>
      </c>
      <c r="D13" s="235"/>
      <c r="E13" s="203">
        <f>35910+57082.92-3500+1200</f>
        <v>90692.92</v>
      </c>
      <c r="F13" s="238"/>
      <c r="G13" s="235"/>
      <c r="H13" s="203"/>
      <c r="I13" s="238"/>
    </row>
    <row r="14" spans="1:9" ht="21">
      <c r="A14" s="230"/>
      <c r="B14" s="250" t="s">
        <v>207</v>
      </c>
      <c r="C14" s="249" t="s">
        <v>208</v>
      </c>
      <c r="D14" s="241"/>
      <c r="E14" s="201">
        <f>257535+338000+444000+573000+1880000+4032000+144000+270000+700000+71000+476000</f>
        <v>9185535</v>
      </c>
      <c r="F14" s="242">
        <f>E11+E12-E13-E14</f>
        <v>-1168166.2000000002</v>
      </c>
      <c r="G14" s="241"/>
      <c r="H14" s="201">
        <v>2238385</v>
      </c>
      <c r="I14" s="242">
        <f>H11+H12-H14</f>
        <v>3484042.4000000004</v>
      </c>
    </row>
    <row r="15" spans="1:9" ht="21" thickBot="1">
      <c r="A15" s="230"/>
      <c r="B15" s="251" t="s">
        <v>458</v>
      </c>
      <c r="C15" s="251"/>
      <c r="D15" s="239"/>
      <c r="E15" s="203"/>
      <c r="F15" s="243">
        <f>SUM(F8:F14)</f>
        <v>24565975.36</v>
      </c>
      <c r="G15" s="239"/>
      <c r="H15" s="203"/>
      <c r="I15" s="243">
        <f>SUM(I8:I14)</f>
        <v>25734141.560000002</v>
      </c>
    </row>
    <row r="16" spans="1:9" ht="21" thickTop="1">
      <c r="A16" s="232"/>
      <c r="B16" s="233"/>
      <c r="C16" s="233"/>
      <c r="D16" s="244"/>
      <c r="E16" s="245"/>
      <c r="F16" s="246"/>
      <c r="G16" s="244"/>
      <c r="H16" s="245"/>
      <c r="I16" s="246"/>
    </row>
    <row r="17" spans="1:10" ht="21">
      <c r="A17" s="35"/>
      <c r="B17" s="195"/>
      <c r="C17" s="195"/>
      <c r="D17" s="200"/>
      <c r="E17" s="200"/>
      <c r="F17" s="200"/>
      <c r="G17" s="200"/>
      <c r="H17" s="200"/>
      <c r="I17" s="200"/>
      <c r="J17" s="116" t="e">
        <f>I15-#REF!</f>
        <v>#REF!</v>
      </c>
    </row>
    <row r="18" spans="1:9" ht="21">
      <c r="A18" s="35"/>
      <c r="B18" s="198" t="s">
        <v>647</v>
      </c>
      <c r="C18" s="199"/>
      <c r="D18" s="200"/>
      <c r="E18" s="200"/>
      <c r="F18" s="321">
        <v>2561</v>
      </c>
      <c r="G18" s="200"/>
      <c r="H18" s="200"/>
      <c r="I18" s="322">
        <v>2560</v>
      </c>
    </row>
    <row r="19" spans="1:9" ht="21">
      <c r="A19" s="35"/>
      <c r="B19" s="195"/>
      <c r="C19" s="196" t="s">
        <v>626</v>
      </c>
      <c r="D19" s="195"/>
      <c r="E19" s="200"/>
      <c r="F19" s="200">
        <v>80312</v>
      </c>
      <c r="G19" s="195"/>
      <c r="H19" s="200"/>
      <c r="I19" s="200">
        <v>80312</v>
      </c>
    </row>
    <row r="20" spans="1:9" ht="21">
      <c r="A20" s="35"/>
      <c r="B20" s="195"/>
      <c r="C20" s="196" t="s">
        <v>577</v>
      </c>
      <c r="D20" s="195"/>
      <c r="E20" s="200"/>
      <c r="F20" s="200">
        <v>2408</v>
      </c>
      <c r="G20" s="195"/>
      <c r="H20" s="200"/>
      <c r="I20" s="200">
        <v>0</v>
      </c>
    </row>
    <row r="21" spans="1:9" ht="21">
      <c r="A21" s="35"/>
      <c r="B21" s="195"/>
      <c r="C21" s="196" t="s">
        <v>578</v>
      </c>
      <c r="D21" s="200"/>
      <c r="E21" s="200"/>
      <c r="F21" s="200">
        <f>+F15</f>
        <v>24565975.36</v>
      </c>
      <c r="G21" s="200"/>
      <c r="H21" s="200"/>
      <c r="I21" s="200">
        <f>+I15</f>
        <v>25734141.560000002</v>
      </c>
    </row>
    <row r="22" spans="1:10" ht="21" thickBot="1">
      <c r="A22" s="35"/>
      <c r="B22" s="195"/>
      <c r="C22" s="195"/>
      <c r="D22" s="200"/>
      <c r="E22" s="206" t="s">
        <v>196</v>
      </c>
      <c r="F22" s="205">
        <f>F15</f>
        <v>24565975.36</v>
      </c>
      <c r="G22" s="200"/>
      <c r="H22" s="206" t="s">
        <v>196</v>
      </c>
      <c r="I22" s="205">
        <f>I15</f>
        <v>25734141.560000002</v>
      </c>
      <c r="J22" s="207"/>
    </row>
    <row r="23" spans="1:9" ht="21" thickTop="1">
      <c r="A23" s="35"/>
      <c r="B23" s="195"/>
      <c r="C23" s="266"/>
      <c r="D23" s="195"/>
      <c r="E23" s="262"/>
      <c r="F23" s="194">
        <v>2561</v>
      </c>
      <c r="G23" s="263"/>
      <c r="H23" s="264"/>
      <c r="I23" s="323">
        <v>2560</v>
      </c>
    </row>
    <row r="24" spans="1:9" ht="21">
      <c r="A24" s="35"/>
      <c r="B24" s="195"/>
      <c r="C24" s="265" t="s">
        <v>648</v>
      </c>
      <c r="D24" s="195"/>
      <c r="E24" s="265"/>
      <c r="F24" s="324" t="s">
        <v>645</v>
      </c>
      <c r="G24" s="195"/>
      <c r="H24" s="195"/>
      <c r="I24" s="325">
        <v>7524535</v>
      </c>
    </row>
    <row r="25" spans="3:9" ht="21">
      <c r="C25" s="326" t="s">
        <v>579</v>
      </c>
      <c r="D25" s="187"/>
      <c r="E25" s="188"/>
      <c r="F25" s="324"/>
      <c r="G25" s="187"/>
      <c r="H25" s="187"/>
      <c r="I25" s="325"/>
    </row>
    <row r="26" ht="21">
      <c r="A26" s="23"/>
    </row>
    <row r="27" ht="21">
      <c r="A27" s="37"/>
    </row>
    <row r="39" spans="1:9" ht="21">
      <c r="A39" s="412" t="s">
        <v>376</v>
      </c>
      <c r="B39" s="412"/>
      <c r="C39" s="412"/>
      <c r="D39" s="412"/>
      <c r="E39" s="412"/>
      <c r="F39" s="412"/>
      <c r="G39" s="412"/>
      <c r="H39" s="412"/>
      <c r="I39" s="412"/>
    </row>
    <row r="40" spans="1:9" ht="21">
      <c r="A40" s="412" t="s">
        <v>194</v>
      </c>
      <c r="B40" s="412"/>
      <c r="C40" s="412"/>
      <c r="D40" s="412"/>
      <c r="E40" s="412"/>
      <c r="F40" s="412"/>
      <c r="G40" s="412"/>
      <c r="H40" s="412"/>
      <c r="I40" s="412"/>
    </row>
    <row r="41" spans="1:9" ht="21">
      <c r="A41" s="412" t="s">
        <v>679</v>
      </c>
      <c r="B41" s="412"/>
      <c r="C41" s="412"/>
      <c r="D41" s="412"/>
      <c r="E41" s="412"/>
      <c r="F41" s="412"/>
      <c r="G41" s="412"/>
      <c r="H41" s="412"/>
      <c r="I41" s="412"/>
    </row>
    <row r="42" spans="4:9" ht="21">
      <c r="D42" s="429"/>
      <c r="E42" s="429"/>
      <c r="F42" s="429"/>
      <c r="G42" s="247"/>
      <c r="H42" s="247"/>
      <c r="I42" s="247"/>
    </row>
    <row r="43" spans="1:9" ht="21">
      <c r="A43" s="23" t="s">
        <v>576</v>
      </c>
      <c r="B43" s="187"/>
      <c r="C43" s="187"/>
      <c r="D43" s="248"/>
      <c r="E43" s="234"/>
      <c r="F43" s="234"/>
      <c r="G43" s="234"/>
      <c r="H43" s="234"/>
      <c r="I43" s="234"/>
    </row>
    <row r="44" spans="1:9" ht="21">
      <c r="A44" s="35"/>
      <c r="B44" s="194"/>
      <c r="C44" s="194"/>
      <c r="D44" s="430">
        <v>2561</v>
      </c>
      <c r="E44" s="431"/>
      <c r="F44" s="432"/>
      <c r="G44" s="273"/>
      <c r="H44" s="275">
        <v>2560</v>
      </c>
      <c r="I44" s="274"/>
    </row>
    <row r="45" spans="1:9" ht="21">
      <c r="A45" s="228"/>
      <c r="B45" s="229"/>
      <c r="C45" s="229"/>
      <c r="D45" s="235"/>
      <c r="E45" s="197"/>
      <c r="F45" s="236"/>
      <c r="G45" s="235"/>
      <c r="H45" s="197"/>
      <c r="I45" s="236"/>
    </row>
    <row r="46" spans="1:9" ht="21">
      <c r="A46" s="230"/>
      <c r="B46" s="428" t="s">
        <v>457</v>
      </c>
      <c r="C46" s="428"/>
      <c r="D46" s="237"/>
      <c r="E46" s="203"/>
      <c r="F46" s="238">
        <v>25734141.56</v>
      </c>
      <c r="G46" s="237"/>
      <c r="H46" s="203"/>
      <c r="I46" s="238">
        <v>22250099.16</v>
      </c>
    </row>
    <row r="47" spans="1:9" ht="21">
      <c r="A47" s="230"/>
      <c r="B47" s="249"/>
      <c r="C47" s="249" t="s">
        <v>204</v>
      </c>
      <c r="D47" s="239">
        <v>10017820.25</v>
      </c>
      <c r="E47" s="203"/>
      <c r="F47" s="238"/>
      <c r="G47" s="239">
        <v>7093912.09</v>
      </c>
      <c r="H47" s="203"/>
      <c r="I47" s="238"/>
    </row>
    <row r="48" spans="1:9" ht="21">
      <c r="A48" s="230"/>
      <c r="B48" s="250"/>
      <c r="C48" s="231" t="s">
        <v>500</v>
      </c>
      <c r="D48" s="240">
        <v>2504455.06</v>
      </c>
      <c r="E48" s="202"/>
      <c r="F48" s="238"/>
      <c r="G48" s="240">
        <v>1773478.02</v>
      </c>
      <c r="H48" s="202"/>
      <c r="I48" s="238"/>
    </row>
    <row r="49" spans="1:9" ht="21">
      <c r="A49" s="230"/>
      <c r="B49" s="250" t="s">
        <v>205</v>
      </c>
      <c r="C49" s="249" t="s">
        <v>206</v>
      </c>
      <c r="D49" s="237"/>
      <c r="E49" s="204">
        <f>D47-D48</f>
        <v>7513365.1899999995</v>
      </c>
      <c r="F49" s="238"/>
      <c r="G49" s="237"/>
      <c r="H49" s="204">
        <f>G47-G48</f>
        <v>5320434.07</v>
      </c>
      <c r="I49" s="238"/>
    </row>
    <row r="50" spans="1:9" ht="21">
      <c r="A50" s="230"/>
      <c r="B50" s="250"/>
      <c r="C50" s="249" t="s">
        <v>18</v>
      </c>
      <c r="D50" s="235"/>
      <c r="E50" s="203">
        <f>103439+491263.53-6</f>
        <v>594696.53</v>
      </c>
      <c r="F50" s="238"/>
      <c r="G50" s="235"/>
      <c r="H50" s="203">
        <v>401993.33</v>
      </c>
      <c r="I50" s="238"/>
    </row>
    <row r="51" spans="1:9" ht="21">
      <c r="A51" s="230"/>
      <c r="B51" s="250"/>
      <c r="C51" s="249" t="s">
        <v>625</v>
      </c>
      <c r="D51" s="235"/>
      <c r="E51" s="203">
        <f>35910+57082.92-3500+1200</f>
        <v>90692.92</v>
      </c>
      <c r="F51" s="238"/>
      <c r="G51" s="235"/>
      <c r="H51" s="203"/>
      <c r="I51" s="238"/>
    </row>
    <row r="52" spans="1:9" ht="21">
      <c r="A52" s="230"/>
      <c r="B52" s="250" t="s">
        <v>207</v>
      </c>
      <c r="C52" s="249" t="s">
        <v>208</v>
      </c>
      <c r="D52" s="241"/>
      <c r="E52" s="201">
        <f>257535+338000+444000+573000+1880000+4032000+144000+270000+700000+71000+476000</f>
        <v>9185535</v>
      </c>
      <c r="F52" s="242">
        <f>E49+E50-E51-E52</f>
        <v>-1168166.2000000002</v>
      </c>
      <c r="G52" s="241"/>
      <c r="H52" s="201">
        <v>2238385</v>
      </c>
      <c r="I52" s="242">
        <f>H49+H50-H52</f>
        <v>3484042.4000000004</v>
      </c>
    </row>
    <row r="53" spans="1:9" ht="21" thickBot="1">
      <c r="A53" s="230"/>
      <c r="B53" s="251" t="s">
        <v>458</v>
      </c>
      <c r="C53" s="251"/>
      <c r="D53" s="239"/>
      <c r="E53" s="203"/>
      <c r="F53" s="243">
        <f>SUM(F46:F52)</f>
        <v>24565975.36</v>
      </c>
      <c r="G53" s="239"/>
      <c r="H53" s="203"/>
      <c r="I53" s="243">
        <f>SUM(I46:I52)</f>
        <v>25734141.560000002</v>
      </c>
    </row>
    <row r="54" spans="1:9" ht="21" thickTop="1">
      <c r="A54" s="232"/>
      <c r="B54" s="233"/>
      <c r="C54" s="233"/>
      <c r="D54" s="244"/>
      <c r="E54" s="245"/>
      <c r="F54" s="246"/>
      <c r="G54" s="244"/>
      <c r="H54" s="245"/>
      <c r="I54" s="246"/>
    </row>
    <row r="55" spans="1:9" ht="21">
      <c r="A55" s="35"/>
      <c r="B55" s="195"/>
      <c r="C55" s="195"/>
      <c r="D55" s="200"/>
      <c r="E55" s="200"/>
      <c r="F55" s="200"/>
      <c r="G55" s="200"/>
      <c r="H55" s="200"/>
      <c r="I55" s="200"/>
    </row>
    <row r="56" spans="1:9" ht="21">
      <c r="A56" s="35"/>
      <c r="B56" s="198" t="s">
        <v>647</v>
      </c>
      <c r="C56" s="199"/>
      <c r="D56" s="200"/>
      <c r="E56" s="200"/>
      <c r="F56" s="321">
        <v>2561</v>
      </c>
      <c r="G56" s="200"/>
      <c r="H56" s="200"/>
      <c r="I56" s="322">
        <v>2560</v>
      </c>
    </row>
    <row r="57" spans="1:9" ht="21">
      <c r="A57" s="35"/>
      <c r="B57" s="195"/>
      <c r="C57" s="196" t="s">
        <v>626</v>
      </c>
      <c r="D57" s="195"/>
      <c r="E57" s="200"/>
      <c r="F57" s="200">
        <v>80312</v>
      </c>
      <c r="G57" s="195"/>
      <c r="H57" s="200"/>
      <c r="I57" s="200">
        <v>80312</v>
      </c>
    </row>
    <row r="58" spans="1:9" ht="21">
      <c r="A58" s="35"/>
      <c r="B58" s="195"/>
      <c r="C58" s="196" t="s">
        <v>577</v>
      </c>
      <c r="D58" s="195"/>
      <c r="E58" s="200"/>
      <c r="F58" s="200">
        <v>2408</v>
      </c>
      <c r="G58" s="195"/>
      <c r="H58" s="200"/>
      <c r="I58" s="200">
        <v>0</v>
      </c>
    </row>
    <row r="59" spans="1:9" ht="21">
      <c r="A59" s="35"/>
      <c r="B59" s="195"/>
      <c r="C59" s="196" t="s">
        <v>578</v>
      </c>
      <c r="D59" s="200"/>
      <c r="E59" s="200"/>
      <c r="F59" s="200">
        <f>+F53</f>
        <v>24565975.36</v>
      </c>
      <c r="G59" s="200"/>
      <c r="H59" s="200"/>
      <c r="I59" s="200">
        <f>+I53</f>
        <v>25734141.560000002</v>
      </c>
    </row>
    <row r="60" spans="1:9" ht="21" thickBot="1">
      <c r="A60" s="35"/>
      <c r="B60" s="195"/>
      <c r="C60" s="195"/>
      <c r="D60" s="200"/>
      <c r="E60" s="206" t="s">
        <v>196</v>
      </c>
      <c r="F60" s="205">
        <f>F53</f>
        <v>24565975.36</v>
      </c>
      <c r="G60" s="200"/>
      <c r="H60" s="206" t="s">
        <v>196</v>
      </c>
      <c r="I60" s="205">
        <f>I53</f>
        <v>25734141.560000002</v>
      </c>
    </row>
    <row r="61" spans="1:9" ht="21" thickTop="1">
      <c r="A61" s="35"/>
      <c r="B61" s="195"/>
      <c r="C61" s="266"/>
      <c r="D61" s="195"/>
      <c r="E61" s="262"/>
      <c r="F61" s="194">
        <v>2561</v>
      </c>
      <c r="G61" s="263"/>
      <c r="H61" s="264"/>
      <c r="I61" s="323">
        <v>2560</v>
      </c>
    </row>
    <row r="62" spans="1:9" ht="21">
      <c r="A62" s="35"/>
      <c r="B62" s="195"/>
      <c r="C62" s="265" t="s">
        <v>648</v>
      </c>
      <c r="D62" s="195"/>
      <c r="E62" s="265"/>
      <c r="F62" s="324" t="s">
        <v>645</v>
      </c>
      <c r="G62" s="195"/>
      <c r="H62" s="195"/>
      <c r="I62" s="325">
        <v>5912000</v>
      </c>
    </row>
    <row r="63" spans="3:9" ht="21">
      <c r="C63" s="326" t="s">
        <v>579</v>
      </c>
      <c r="D63" s="187"/>
      <c r="E63" s="188"/>
      <c r="F63" s="324"/>
      <c r="G63" s="187"/>
      <c r="H63" s="187"/>
      <c r="I63" s="325"/>
    </row>
    <row r="64" ht="21">
      <c r="A64" s="23"/>
    </row>
    <row r="65" ht="21">
      <c r="A65" s="37"/>
    </row>
    <row r="80" ht="21">
      <c r="C80" s="7" t="s">
        <v>682</v>
      </c>
    </row>
    <row r="81" ht="21">
      <c r="C81" s="7" t="s">
        <v>557</v>
      </c>
    </row>
    <row r="84" spans="3:5" ht="21">
      <c r="C84" s="225" t="s">
        <v>62</v>
      </c>
      <c r="D84" s="225" t="s">
        <v>61</v>
      </c>
      <c r="E84" s="225" t="s">
        <v>181</v>
      </c>
    </row>
    <row r="85" spans="3:5" ht="21">
      <c r="C85" s="27" t="s">
        <v>684</v>
      </c>
      <c r="D85" s="30">
        <v>57082.92</v>
      </c>
      <c r="E85" s="27"/>
    </row>
    <row r="86" spans="3:5" ht="21">
      <c r="C86" s="28" t="s">
        <v>685</v>
      </c>
      <c r="D86" s="31">
        <v>35910</v>
      </c>
      <c r="E86" s="28"/>
    </row>
    <row r="87" spans="3:5" ht="21">
      <c r="C87" s="28" t="s">
        <v>689</v>
      </c>
      <c r="D87" s="31">
        <v>3500</v>
      </c>
      <c r="E87" s="28"/>
    </row>
    <row r="88" spans="3:5" ht="21">
      <c r="C88" s="28" t="s">
        <v>687</v>
      </c>
      <c r="D88" s="31">
        <v>1200</v>
      </c>
      <c r="E88" s="28"/>
    </row>
    <row r="89" spans="3:5" ht="21">
      <c r="C89" s="28"/>
      <c r="D89" s="31"/>
      <c r="E89" s="28"/>
    </row>
    <row r="90" spans="3:5" ht="21">
      <c r="C90" s="28"/>
      <c r="D90" s="31"/>
      <c r="E90" s="28"/>
    </row>
    <row r="91" spans="3:5" ht="21">
      <c r="C91" s="29" t="s">
        <v>196</v>
      </c>
      <c r="D91" s="32">
        <f>D85+D86-D87+D88</f>
        <v>90692.92</v>
      </c>
      <c r="E91" s="29"/>
    </row>
  </sheetData>
  <sheetProtection/>
  <mergeCells count="12">
    <mergeCell ref="A39:I39"/>
    <mergeCell ref="A40:I40"/>
    <mergeCell ref="A41:I41"/>
    <mergeCell ref="D42:F42"/>
    <mergeCell ref="D44:F44"/>
    <mergeCell ref="B46:C46"/>
    <mergeCell ref="A1:I1"/>
    <mergeCell ref="A2:I2"/>
    <mergeCell ref="A3:I3"/>
    <mergeCell ref="B8:C8"/>
    <mergeCell ref="D4:F4"/>
    <mergeCell ref="D6:F6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4"/>
  <sheetViews>
    <sheetView zoomScalePageLayoutView="0" workbookViewId="0" topLeftCell="A13">
      <selection activeCell="F38" sqref="F38"/>
    </sheetView>
  </sheetViews>
  <sheetFormatPr defaultColWidth="9.00390625" defaultRowHeight="15"/>
  <cols>
    <col min="1" max="1" width="9.00390625" style="7" customWidth="1"/>
    <col min="2" max="2" width="12.421875" style="7" customWidth="1"/>
    <col min="3" max="3" width="15.00390625" style="7" customWidth="1"/>
    <col min="4" max="4" width="35.00390625" style="7" customWidth="1"/>
    <col min="5" max="5" width="13.140625" style="7" customWidth="1"/>
    <col min="6" max="8" width="12.140625" style="7" customWidth="1"/>
    <col min="9" max="9" width="7.8515625" style="7" customWidth="1"/>
    <col min="10" max="16384" width="9.00390625" style="7" customWidth="1"/>
  </cols>
  <sheetData>
    <row r="1" spans="2:9" ht="21">
      <c r="B1" s="412" t="str">
        <f>+งบแสดงฐานะการเงิน!A1</f>
        <v>องค์การบริหารส่วนตำบลคอกควาย</v>
      </c>
      <c r="C1" s="412"/>
      <c r="D1" s="412"/>
      <c r="E1" s="412"/>
      <c r="F1" s="412"/>
      <c r="G1" s="412"/>
      <c r="H1" s="412"/>
      <c r="I1" s="412"/>
    </row>
    <row r="2" spans="2:9" ht="21">
      <c r="B2" s="412" t="s">
        <v>194</v>
      </c>
      <c r="C2" s="412"/>
      <c r="D2" s="412"/>
      <c r="E2" s="412"/>
      <c r="F2" s="412"/>
      <c r="G2" s="412"/>
      <c r="H2" s="412"/>
      <c r="I2" s="412"/>
    </row>
    <row r="3" spans="2:9" ht="21">
      <c r="B3" s="412" t="s">
        <v>649</v>
      </c>
      <c r="C3" s="412"/>
      <c r="D3" s="412"/>
      <c r="E3" s="412"/>
      <c r="F3" s="412"/>
      <c r="G3" s="412"/>
      <c r="H3" s="412"/>
      <c r="I3" s="412"/>
    </row>
    <row r="4" ht="21">
      <c r="B4" s="23" t="s">
        <v>590</v>
      </c>
    </row>
    <row r="5" ht="21">
      <c r="B5" s="23" t="s">
        <v>557</v>
      </c>
    </row>
    <row r="6" spans="1:9" s="25" customFormat="1" ht="42" customHeight="1">
      <c r="A6" s="284"/>
      <c r="B6" s="38" t="s">
        <v>200</v>
      </c>
      <c r="C6" s="38" t="s">
        <v>201</v>
      </c>
      <c r="D6" s="38" t="s">
        <v>202</v>
      </c>
      <c r="E6" s="258" t="s">
        <v>209</v>
      </c>
      <c r="F6" s="40" t="s">
        <v>210</v>
      </c>
      <c r="G6" s="38" t="s">
        <v>211</v>
      </c>
      <c r="H6" s="38" t="s">
        <v>212</v>
      </c>
      <c r="I6" s="330" t="s">
        <v>213</v>
      </c>
    </row>
    <row r="7" spans="2:9" ht="21">
      <c r="B7" s="256" t="s">
        <v>163</v>
      </c>
      <c r="C7" s="256" t="s">
        <v>414</v>
      </c>
      <c r="D7" s="370" t="s">
        <v>592</v>
      </c>
      <c r="E7" s="30">
        <v>316300</v>
      </c>
      <c r="F7" s="30"/>
      <c r="G7" s="30">
        <v>245848</v>
      </c>
      <c r="H7" s="30"/>
      <c r="I7" s="30"/>
    </row>
    <row r="8" spans="2:9" ht="21">
      <c r="B8" s="131" t="s">
        <v>163</v>
      </c>
      <c r="C8" s="131" t="s">
        <v>414</v>
      </c>
      <c r="D8" s="178" t="s">
        <v>593</v>
      </c>
      <c r="E8" s="31">
        <v>152900</v>
      </c>
      <c r="F8" s="31"/>
      <c r="G8" s="31">
        <v>148800</v>
      </c>
      <c r="H8" s="31"/>
      <c r="I8" s="31"/>
    </row>
    <row r="9" spans="2:9" ht="21">
      <c r="B9" s="131" t="s">
        <v>163</v>
      </c>
      <c r="C9" s="131" t="s">
        <v>414</v>
      </c>
      <c r="D9" s="178" t="s">
        <v>594</v>
      </c>
      <c r="E9" s="31">
        <v>381300</v>
      </c>
      <c r="F9" s="31"/>
      <c r="G9" s="31">
        <v>377000</v>
      </c>
      <c r="H9" s="31"/>
      <c r="I9" s="31"/>
    </row>
    <row r="10" spans="2:9" ht="21">
      <c r="B10" s="131" t="s">
        <v>163</v>
      </c>
      <c r="C10" s="131" t="s">
        <v>414</v>
      </c>
      <c r="D10" s="178" t="s">
        <v>595</v>
      </c>
      <c r="E10" s="31">
        <v>144300</v>
      </c>
      <c r="F10" s="31"/>
      <c r="G10" s="31">
        <v>144300</v>
      </c>
      <c r="H10" s="31"/>
      <c r="I10" s="31"/>
    </row>
    <row r="11" spans="2:9" ht="21">
      <c r="B11" s="131" t="s">
        <v>163</v>
      </c>
      <c r="C11" s="131" t="s">
        <v>414</v>
      </c>
      <c r="D11" s="178" t="s">
        <v>596</v>
      </c>
      <c r="E11" s="31">
        <v>106000</v>
      </c>
      <c r="F11" s="31"/>
      <c r="G11" s="31">
        <v>105500</v>
      </c>
      <c r="H11" s="31"/>
      <c r="I11" s="31"/>
    </row>
    <row r="12" spans="2:9" ht="21">
      <c r="B12" s="28"/>
      <c r="C12" s="28"/>
      <c r="D12" s="178" t="s">
        <v>597</v>
      </c>
      <c r="E12" s="31"/>
      <c r="F12" s="31"/>
      <c r="G12" s="31"/>
      <c r="H12" s="31"/>
      <c r="I12" s="31"/>
    </row>
    <row r="13" spans="2:9" ht="21">
      <c r="B13" s="131" t="s">
        <v>163</v>
      </c>
      <c r="C13" s="131" t="s">
        <v>414</v>
      </c>
      <c r="D13" s="178" t="s">
        <v>598</v>
      </c>
      <c r="E13" s="31">
        <v>196000</v>
      </c>
      <c r="F13" s="31"/>
      <c r="G13" s="31">
        <v>195226</v>
      </c>
      <c r="H13" s="31"/>
      <c r="I13" s="31"/>
    </row>
    <row r="14" spans="2:9" ht="21">
      <c r="B14" s="131" t="s">
        <v>163</v>
      </c>
      <c r="C14" s="131" t="s">
        <v>414</v>
      </c>
      <c r="D14" s="178" t="s">
        <v>599</v>
      </c>
      <c r="E14" s="31">
        <v>446000</v>
      </c>
      <c r="F14" s="31"/>
      <c r="G14" s="31">
        <v>441885</v>
      </c>
      <c r="H14" s="31"/>
      <c r="I14" s="31"/>
    </row>
    <row r="15" spans="2:9" ht="21">
      <c r="B15" s="131" t="s">
        <v>163</v>
      </c>
      <c r="C15" s="131" t="s">
        <v>414</v>
      </c>
      <c r="D15" s="178" t="s">
        <v>600</v>
      </c>
      <c r="E15" s="31">
        <v>157400</v>
      </c>
      <c r="F15" s="31"/>
      <c r="G15" s="31">
        <v>154174</v>
      </c>
      <c r="H15" s="31"/>
      <c r="I15" s="31"/>
    </row>
    <row r="16" spans="2:9" ht="21">
      <c r="B16" s="131" t="s">
        <v>163</v>
      </c>
      <c r="C16" s="131" t="s">
        <v>414</v>
      </c>
      <c r="D16" s="178" t="s">
        <v>601</v>
      </c>
      <c r="E16" s="31">
        <v>425652</v>
      </c>
      <c r="F16" s="31"/>
      <c r="G16" s="31">
        <v>425652</v>
      </c>
      <c r="H16" s="31"/>
      <c r="I16" s="31"/>
    </row>
    <row r="17" spans="2:9" ht="21">
      <c r="B17" s="131" t="s">
        <v>163</v>
      </c>
      <c r="C17" s="131" t="s">
        <v>414</v>
      </c>
      <c r="D17" s="178" t="s">
        <v>602</v>
      </c>
      <c r="E17" s="31">
        <v>291600</v>
      </c>
      <c r="F17" s="31">
        <v>257535</v>
      </c>
      <c r="G17" s="31"/>
      <c r="H17" s="31">
        <v>257535</v>
      </c>
      <c r="I17" s="31"/>
    </row>
    <row r="18" spans="2:9" ht="21">
      <c r="B18" s="131" t="s">
        <v>163</v>
      </c>
      <c r="C18" s="131" t="s">
        <v>414</v>
      </c>
      <c r="D18" s="178" t="s">
        <v>604</v>
      </c>
      <c r="E18" s="31">
        <v>338500</v>
      </c>
      <c r="F18" s="31">
        <v>338000</v>
      </c>
      <c r="G18" s="31"/>
      <c r="H18" s="31">
        <v>338000</v>
      </c>
      <c r="I18" s="31"/>
    </row>
    <row r="19" spans="2:9" ht="21">
      <c r="B19" s="28"/>
      <c r="C19" s="28"/>
      <c r="D19" s="178" t="s">
        <v>603</v>
      </c>
      <c r="E19" s="31"/>
      <c r="F19" s="31"/>
      <c r="G19" s="31"/>
      <c r="H19" s="31"/>
      <c r="I19" s="31"/>
    </row>
    <row r="20" spans="2:9" ht="21" thickBot="1">
      <c r="B20" s="433" t="s">
        <v>196</v>
      </c>
      <c r="C20" s="433"/>
      <c r="D20" s="433"/>
      <c r="E20" s="113"/>
      <c r="F20" s="113"/>
      <c r="G20" s="113"/>
      <c r="H20" s="113"/>
      <c r="I20" s="113">
        <f>SUM(I7:I18)</f>
        <v>0</v>
      </c>
    </row>
    <row r="21" spans="2:9" ht="21" thickTop="1">
      <c r="B21" s="412" t="s">
        <v>376</v>
      </c>
      <c r="C21" s="412"/>
      <c r="D21" s="412"/>
      <c r="E21" s="412"/>
      <c r="F21" s="412"/>
      <c r="G21" s="412"/>
      <c r="H21" s="412"/>
      <c r="I21" s="412"/>
    </row>
    <row r="22" spans="2:9" ht="21">
      <c r="B22" s="412" t="s">
        <v>194</v>
      </c>
      <c r="C22" s="412"/>
      <c r="D22" s="412"/>
      <c r="E22" s="412"/>
      <c r="F22" s="412"/>
      <c r="G22" s="412"/>
      <c r="H22" s="412"/>
      <c r="I22" s="412"/>
    </row>
    <row r="23" spans="2:9" ht="21">
      <c r="B23" s="412" t="s">
        <v>649</v>
      </c>
      <c r="C23" s="412"/>
      <c r="D23" s="412"/>
      <c r="E23" s="412"/>
      <c r="F23" s="412"/>
      <c r="G23" s="412"/>
      <c r="H23" s="412"/>
      <c r="I23" s="412"/>
    </row>
    <row r="24" ht="21">
      <c r="B24" s="23" t="s">
        <v>674</v>
      </c>
    </row>
    <row r="25" ht="21">
      <c r="B25" s="7" t="s">
        <v>557</v>
      </c>
    </row>
    <row r="26" spans="1:9" s="254" customFormat="1" ht="42" customHeight="1">
      <c r="A26" s="284"/>
      <c r="B26" s="257" t="s">
        <v>200</v>
      </c>
      <c r="C26" s="257" t="s">
        <v>201</v>
      </c>
      <c r="D26" s="38" t="s">
        <v>202</v>
      </c>
      <c r="E26" s="258" t="s">
        <v>209</v>
      </c>
      <c r="F26" s="40" t="s">
        <v>210</v>
      </c>
      <c r="G26" s="38" t="s">
        <v>211</v>
      </c>
      <c r="H26" s="38" t="s">
        <v>212</v>
      </c>
      <c r="I26" s="330" t="s">
        <v>213</v>
      </c>
    </row>
    <row r="27" spans="2:9" ht="21">
      <c r="B27" s="131" t="s">
        <v>163</v>
      </c>
      <c r="C27" s="131" t="s">
        <v>414</v>
      </c>
      <c r="D27" s="370" t="s">
        <v>605</v>
      </c>
      <c r="E27" s="30">
        <v>450000</v>
      </c>
      <c r="F27" s="30">
        <v>444000</v>
      </c>
      <c r="G27" s="30"/>
      <c r="H27" s="30">
        <v>444000</v>
      </c>
      <c r="I27" s="30"/>
    </row>
    <row r="28" spans="2:9" ht="21">
      <c r="B28" s="131" t="s">
        <v>163</v>
      </c>
      <c r="C28" s="131" t="s">
        <v>414</v>
      </c>
      <c r="D28" s="178" t="s">
        <v>606</v>
      </c>
      <c r="E28" s="31">
        <v>600000</v>
      </c>
      <c r="F28" s="31">
        <v>573000</v>
      </c>
      <c r="G28" s="31"/>
      <c r="H28" s="31">
        <v>573000</v>
      </c>
      <c r="I28" s="31"/>
    </row>
    <row r="29" spans="2:9" ht="21">
      <c r="B29" s="131" t="s">
        <v>163</v>
      </c>
      <c r="C29" s="131" t="s">
        <v>414</v>
      </c>
      <c r="D29" s="178" t="s">
        <v>614</v>
      </c>
      <c r="E29" s="31">
        <v>2746700</v>
      </c>
      <c r="F29" s="31">
        <v>1880000</v>
      </c>
      <c r="G29" s="31"/>
      <c r="H29" s="31">
        <v>1880000</v>
      </c>
      <c r="I29" s="31"/>
    </row>
    <row r="30" spans="2:9" ht="21">
      <c r="B30" s="131" t="s">
        <v>163</v>
      </c>
      <c r="C30" s="131" t="s">
        <v>414</v>
      </c>
      <c r="D30" s="178" t="s">
        <v>608</v>
      </c>
      <c r="E30" s="31">
        <v>4521500</v>
      </c>
      <c r="F30" s="31">
        <v>4032000</v>
      </c>
      <c r="G30" s="31"/>
      <c r="H30" s="31">
        <v>4032000</v>
      </c>
      <c r="I30" s="31"/>
    </row>
    <row r="31" spans="2:9" ht="21">
      <c r="B31" s="28"/>
      <c r="C31" s="28"/>
      <c r="D31" s="28"/>
      <c r="E31" s="31"/>
      <c r="F31" s="31"/>
      <c r="G31" s="31"/>
      <c r="H31" s="31"/>
      <c r="I31" s="31"/>
    </row>
    <row r="32" spans="2:9" ht="21">
      <c r="B32" s="28"/>
      <c r="C32" s="28"/>
      <c r="D32" s="28"/>
      <c r="E32" s="31"/>
      <c r="F32" s="31"/>
      <c r="G32" s="31"/>
      <c r="H32" s="31"/>
      <c r="I32" s="31"/>
    </row>
    <row r="33" spans="2:9" ht="21">
      <c r="B33" s="28"/>
      <c r="C33" s="28"/>
      <c r="D33" s="28"/>
      <c r="E33" s="31"/>
      <c r="F33" s="31"/>
      <c r="G33" s="31"/>
      <c r="H33" s="31"/>
      <c r="I33" s="31"/>
    </row>
    <row r="34" spans="2:9" ht="21" thickBot="1">
      <c r="B34" s="433" t="s">
        <v>196</v>
      </c>
      <c r="C34" s="433"/>
      <c r="D34" s="433"/>
      <c r="E34" s="113">
        <f>E7+E8+E9+E10+E11+E12+E13+E14+E15+E16+E17+E18+E27+E28+E29+E30</f>
        <v>11274152</v>
      </c>
      <c r="F34" s="113">
        <f>F17+F18+F27+F28+F29+F30</f>
        <v>7524535</v>
      </c>
      <c r="G34" s="113">
        <f>G7+G8+G9+G10+G11+G13+G14+G15+G16</f>
        <v>2238385</v>
      </c>
      <c r="H34" s="113">
        <f>H17+H18+H27+H28+H29+H30</f>
        <v>7524535</v>
      </c>
      <c r="I34" s="113">
        <f>SUM(I27:I32)</f>
        <v>0</v>
      </c>
    </row>
    <row r="35" ht="21" thickTop="1"/>
  </sheetData>
  <sheetProtection/>
  <mergeCells count="8">
    <mergeCell ref="B2:I2"/>
    <mergeCell ref="B3:I3"/>
    <mergeCell ref="B20:D20"/>
    <mergeCell ref="B1:I1"/>
    <mergeCell ref="B34:D34"/>
    <mergeCell ref="B21:I21"/>
    <mergeCell ref="B22:I22"/>
    <mergeCell ref="B23:I23"/>
  </mergeCells>
  <printOptions/>
  <pageMargins left="0.31496062992125984" right="0.31496062992125984" top="0.7480314960629921" bottom="0.35433070866141736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63"/>
  <sheetViews>
    <sheetView zoomScalePageLayoutView="0" workbookViewId="0" topLeftCell="A1">
      <selection activeCell="K53" sqref="K53"/>
    </sheetView>
  </sheetViews>
  <sheetFormatPr defaultColWidth="9.00390625" defaultRowHeight="15"/>
  <cols>
    <col min="1" max="1" width="9.00390625" style="7" customWidth="1"/>
    <col min="2" max="2" width="12.421875" style="7" customWidth="1"/>
    <col min="3" max="3" width="14.8515625" style="7" customWidth="1"/>
    <col min="4" max="4" width="38.8515625" style="7" customWidth="1"/>
    <col min="5" max="5" width="13.140625" style="7" customWidth="1"/>
    <col min="6" max="7" width="12.00390625" style="7" customWidth="1"/>
    <col min="8" max="8" width="12.140625" style="7" customWidth="1"/>
    <col min="9" max="9" width="7.57421875" style="7" customWidth="1"/>
    <col min="10" max="16384" width="9.00390625" style="7" customWidth="1"/>
  </cols>
  <sheetData>
    <row r="1" spans="2:9" ht="21">
      <c r="B1" s="412" t="str">
        <f>+งบแสดงฐานะการเงิน!A1</f>
        <v>องค์การบริหารส่วนตำบลคอกควาย</v>
      </c>
      <c r="C1" s="412"/>
      <c r="D1" s="412"/>
      <c r="E1" s="412"/>
      <c r="F1" s="412"/>
      <c r="G1" s="412"/>
      <c r="H1" s="412"/>
      <c r="I1" s="412"/>
    </row>
    <row r="2" spans="2:9" ht="21">
      <c r="B2" s="412" t="s">
        <v>194</v>
      </c>
      <c r="C2" s="412"/>
      <c r="D2" s="412"/>
      <c r="E2" s="412"/>
      <c r="F2" s="412"/>
      <c r="G2" s="412"/>
      <c r="H2" s="412"/>
      <c r="I2" s="412"/>
    </row>
    <row r="3" spans="2:9" ht="21">
      <c r="B3" s="412" t="s">
        <v>650</v>
      </c>
      <c r="C3" s="412"/>
      <c r="D3" s="412"/>
      <c r="E3" s="412"/>
      <c r="F3" s="412"/>
      <c r="G3" s="412"/>
      <c r="H3" s="412"/>
      <c r="I3" s="412"/>
    </row>
    <row r="4" ht="21">
      <c r="B4" s="23" t="s">
        <v>590</v>
      </c>
    </row>
    <row r="5" ht="21">
      <c r="B5" s="7" t="s">
        <v>557</v>
      </c>
    </row>
    <row r="6" spans="1:9" s="254" customFormat="1" ht="42" customHeight="1">
      <c r="A6" s="291"/>
      <c r="B6" s="38" t="s">
        <v>200</v>
      </c>
      <c r="C6" s="38" t="s">
        <v>201</v>
      </c>
      <c r="D6" s="255" t="s">
        <v>202</v>
      </c>
      <c r="E6" s="39" t="s">
        <v>209</v>
      </c>
      <c r="F6" s="40" t="s">
        <v>210</v>
      </c>
      <c r="G6" s="255" t="s">
        <v>211</v>
      </c>
      <c r="H6" s="255" t="s">
        <v>212</v>
      </c>
      <c r="I6" s="330" t="s">
        <v>213</v>
      </c>
    </row>
    <row r="7" spans="2:9" ht="21">
      <c r="B7" s="256" t="s">
        <v>163</v>
      </c>
      <c r="C7" s="256" t="s">
        <v>414</v>
      </c>
      <c r="D7" s="130" t="s">
        <v>602</v>
      </c>
      <c r="E7" s="31">
        <v>291600</v>
      </c>
      <c r="F7" s="31"/>
      <c r="G7" s="31">
        <v>257535</v>
      </c>
      <c r="H7" s="31"/>
      <c r="I7" s="30"/>
    </row>
    <row r="8" spans="2:9" ht="21">
      <c r="B8" s="131" t="s">
        <v>163</v>
      </c>
      <c r="C8" s="131" t="s">
        <v>414</v>
      </c>
      <c r="D8" s="130" t="s">
        <v>604</v>
      </c>
      <c r="E8" s="31">
        <v>338500</v>
      </c>
      <c r="F8" s="31"/>
      <c r="G8" s="31">
        <v>338000</v>
      </c>
      <c r="H8" s="31"/>
      <c r="I8" s="31"/>
    </row>
    <row r="9" spans="2:9" ht="21">
      <c r="B9" s="28"/>
      <c r="C9" s="28"/>
      <c r="D9" s="130" t="s">
        <v>603</v>
      </c>
      <c r="E9" s="31"/>
      <c r="F9" s="31"/>
      <c r="G9" s="31"/>
      <c r="H9" s="31"/>
      <c r="I9" s="31"/>
    </row>
    <row r="10" spans="2:9" ht="21">
      <c r="B10" s="131" t="s">
        <v>163</v>
      </c>
      <c r="C10" s="131" t="s">
        <v>414</v>
      </c>
      <c r="D10" s="130" t="s">
        <v>605</v>
      </c>
      <c r="E10" s="31">
        <v>450000</v>
      </c>
      <c r="F10" s="31"/>
      <c r="G10" s="31">
        <v>444000</v>
      </c>
      <c r="H10" s="31"/>
      <c r="I10" s="31"/>
    </row>
    <row r="11" spans="2:9" ht="21">
      <c r="B11" s="131" t="s">
        <v>163</v>
      </c>
      <c r="C11" s="131" t="s">
        <v>414</v>
      </c>
      <c r="D11" s="130" t="s">
        <v>606</v>
      </c>
      <c r="E11" s="31">
        <v>600000</v>
      </c>
      <c r="F11" s="31"/>
      <c r="G11" s="31">
        <v>573000</v>
      </c>
      <c r="H11" s="31"/>
      <c r="I11" s="31"/>
    </row>
    <row r="12" spans="2:9" ht="21">
      <c r="B12" s="131" t="s">
        <v>163</v>
      </c>
      <c r="C12" s="131" t="s">
        <v>414</v>
      </c>
      <c r="D12" s="130" t="s">
        <v>607</v>
      </c>
      <c r="E12" s="31">
        <v>2746700</v>
      </c>
      <c r="F12" s="31"/>
      <c r="G12" s="31">
        <v>1880000</v>
      </c>
      <c r="H12" s="31"/>
      <c r="I12" s="31"/>
    </row>
    <row r="13" spans="2:9" ht="21">
      <c r="B13" s="131" t="s">
        <v>163</v>
      </c>
      <c r="C13" s="131" t="s">
        <v>414</v>
      </c>
      <c r="D13" s="130" t="s">
        <v>608</v>
      </c>
      <c r="E13" s="31">
        <v>4521500</v>
      </c>
      <c r="F13" s="31"/>
      <c r="G13" s="31">
        <v>4032000</v>
      </c>
      <c r="H13" s="31"/>
      <c r="I13" s="31"/>
    </row>
    <row r="14" spans="2:9" ht="21">
      <c r="B14" s="131" t="s">
        <v>163</v>
      </c>
      <c r="C14" s="131" t="s">
        <v>414</v>
      </c>
      <c r="D14" s="130" t="s">
        <v>609</v>
      </c>
      <c r="E14" s="31">
        <v>144600</v>
      </c>
      <c r="F14" s="31"/>
      <c r="G14" s="31">
        <v>144000</v>
      </c>
      <c r="H14" s="31"/>
      <c r="I14" s="31"/>
    </row>
    <row r="15" spans="2:9" ht="21">
      <c r="B15" s="131" t="s">
        <v>163</v>
      </c>
      <c r="C15" s="131" t="s">
        <v>414</v>
      </c>
      <c r="D15" s="130" t="s">
        <v>610</v>
      </c>
      <c r="E15" s="31">
        <v>287500</v>
      </c>
      <c r="F15" s="31"/>
      <c r="G15" s="31">
        <v>270000</v>
      </c>
      <c r="H15" s="31"/>
      <c r="I15" s="31"/>
    </row>
    <row r="16" spans="2:9" ht="21">
      <c r="B16" s="131" t="s">
        <v>163</v>
      </c>
      <c r="C16" s="131" t="s">
        <v>414</v>
      </c>
      <c r="D16" s="130" t="s">
        <v>611</v>
      </c>
      <c r="E16" s="31">
        <v>1009000</v>
      </c>
      <c r="F16" s="31"/>
      <c r="G16" s="31">
        <v>700000</v>
      </c>
      <c r="H16" s="31"/>
      <c r="I16" s="31"/>
    </row>
    <row r="17" spans="2:9" ht="21">
      <c r="B17" s="131" t="s">
        <v>163</v>
      </c>
      <c r="C17" s="131" t="s">
        <v>414</v>
      </c>
      <c r="D17" s="130" t="s">
        <v>612</v>
      </c>
      <c r="E17" s="31">
        <v>71300</v>
      </c>
      <c r="F17" s="31"/>
      <c r="G17" s="31">
        <v>71000</v>
      </c>
      <c r="H17" s="31"/>
      <c r="I17" s="31"/>
    </row>
    <row r="18" spans="2:9" ht="21">
      <c r="B18" s="131" t="s">
        <v>163</v>
      </c>
      <c r="C18" s="131" t="s">
        <v>414</v>
      </c>
      <c r="D18" s="130" t="s">
        <v>613</v>
      </c>
      <c r="E18" s="31">
        <v>700800</v>
      </c>
      <c r="F18" s="31"/>
      <c r="G18" s="31">
        <v>476000</v>
      </c>
      <c r="H18" s="31"/>
      <c r="I18" s="31"/>
    </row>
    <row r="19" spans="2:9" ht="21">
      <c r="B19" s="28"/>
      <c r="C19" s="28"/>
      <c r="D19" s="28"/>
      <c r="E19" s="31"/>
      <c r="F19" s="31"/>
      <c r="G19" s="31"/>
      <c r="H19" s="31"/>
      <c r="I19" s="31"/>
    </row>
    <row r="20" spans="2:9" ht="21" thickBot="1">
      <c r="B20" s="433" t="s">
        <v>196</v>
      </c>
      <c r="C20" s="433"/>
      <c r="D20" s="433"/>
      <c r="E20" s="113">
        <f>SUM(E7:E18)</f>
        <v>11161500</v>
      </c>
      <c r="F20" s="113">
        <f>SUM(F7:F18)</f>
        <v>0</v>
      </c>
      <c r="G20" s="113">
        <f>SUM(G7:G18)</f>
        <v>9185535</v>
      </c>
      <c r="H20" s="113">
        <f>SUM(H7:H18)</f>
        <v>0</v>
      </c>
      <c r="I20" s="113">
        <f>SUM(I7:I18)</f>
        <v>0</v>
      </c>
    </row>
    <row r="21" spans="2:9" ht="21" thickTop="1">
      <c r="B21" s="412" t="s">
        <v>376</v>
      </c>
      <c r="C21" s="412"/>
      <c r="D21" s="412"/>
      <c r="E21" s="412"/>
      <c r="F21" s="412"/>
      <c r="G21" s="412"/>
      <c r="H21" s="412"/>
      <c r="I21" s="412"/>
    </row>
    <row r="22" spans="2:9" ht="21">
      <c r="B22" s="412" t="s">
        <v>194</v>
      </c>
      <c r="C22" s="412"/>
      <c r="D22" s="412"/>
      <c r="E22" s="412"/>
      <c r="F22" s="412"/>
      <c r="G22" s="412"/>
      <c r="H22" s="412"/>
      <c r="I22" s="412"/>
    </row>
    <row r="23" spans="2:9" ht="21">
      <c r="B23" s="412" t="s">
        <v>650</v>
      </c>
      <c r="C23" s="412"/>
      <c r="D23" s="412"/>
      <c r="E23" s="412"/>
      <c r="F23" s="412"/>
      <c r="G23" s="412"/>
      <c r="H23" s="412"/>
      <c r="I23" s="412"/>
    </row>
    <row r="24" ht="21">
      <c r="B24" s="23" t="s">
        <v>590</v>
      </c>
    </row>
    <row r="25" ht="21">
      <c r="B25" s="7" t="s">
        <v>558</v>
      </c>
    </row>
    <row r="26" spans="2:9" ht="42" customHeight="1">
      <c r="B26" s="38" t="s">
        <v>200</v>
      </c>
      <c r="C26" s="38" t="s">
        <v>201</v>
      </c>
      <c r="D26" s="38" t="s">
        <v>202</v>
      </c>
      <c r="E26" s="39" t="s">
        <v>209</v>
      </c>
      <c r="F26" s="40" t="s">
        <v>210</v>
      </c>
      <c r="G26" s="38" t="s">
        <v>211</v>
      </c>
      <c r="H26" s="38" t="s">
        <v>212</v>
      </c>
      <c r="I26" s="330" t="s">
        <v>213</v>
      </c>
    </row>
    <row r="27" spans="2:9" ht="21">
      <c r="B27" s="256" t="s">
        <v>163</v>
      </c>
      <c r="C27" s="256" t="s">
        <v>414</v>
      </c>
      <c r="D27" s="259" t="s">
        <v>615</v>
      </c>
      <c r="E27" s="30">
        <v>316300</v>
      </c>
      <c r="F27" s="30"/>
      <c r="G27" s="30">
        <v>245848</v>
      </c>
      <c r="H27" s="30"/>
      <c r="I27" s="30"/>
    </row>
    <row r="28" spans="2:9" ht="21">
      <c r="B28" s="131" t="s">
        <v>163</v>
      </c>
      <c r="C28" s="131" t="s">
        <v>414</v>
      </c>
      <c r="D28" s="130" t="s">
        <v>616</v>
      </c>
      <c r="E28" s="31">
        <v>152900</v>
      </c>
      <c r="F28" s="31"/>
      <c r="G28" s="31">
        <v>148800</v>
      </c>
      <c r="H28" s="31"/>
      <c r="I28" s="31"/>
    </row>
    <row r="29" spans="2:9" ht="21">
      <c r="B29" s="131" t="s">
        <v>163</v>
      </c>
      <c r="C29" s="131" t="s">
        <v>414</v>
      </c>
      <c r="D29" s="130" t="s">
        <v>617</v>
      </c>
      <c r="E29" s="31">
        <v>381300</v>
      </c>
      <c r="F29" s="31"/>
      <c r="G29" s="31">
        <v>377000</v>
      </c>
      <c r="H29" s="31"/>
      <c r="I29" s="31"/>
    </row>
    <row r="30" spans="2:9" ht="21">
      <c r="B30" s="131" t="s">
        <v>163</v>
      </c>
      <c r="C30" s="131" t="s">
        <v>414</v>
      </c>
      <c r="D30" s="130" t="s">
        <v>595</v>
      </c>
      <c r="E30" s="31">
        <v>144300</v>
      </c>
      <c r="F30" s="31"/>
      <c r="G30" s="31">
        <v>144300</v>
      </c>
      <c r="H30" s="31"/>
      <c r="I30" s="31"/>
    </row>
    <row r="31" spans="2:9" ht="21">
      <c r="B31" s="131" t="s">
        <v>163</v>
      </c>
      <c r="C31" s="131" t="s">
        <v>414</v>
      </c>
      <c r="D31" s="130" t="s">
        <v>618</v>
      </c>
      <c r="E31" s="31">
        <v>106000</v>
      </c>
      <c r="F31" s="31"/>
      <c r="G31" s="31">
        <v>105500</v>
      </c>
      <c r="H31" s="31"/>
      <c r="I31" s="31"/>
    </row>
    <row r="32" spans="2:9" ht="21">
      <c r="B32" s="131"/>
      <c r="C32" s="131"/>
      <c r="D32" s="130" t="s">
        <v>597</v>
      </c>
      <c r="E32" s="31"/>
      <c r="F32" s="31"/>
      <c r="G32" s="31"/>
      <c r="H32" s="31"/>
      <c r="I32" s="31"/>
    </row>
    <row r="33" spans="2:9" ht="21">
      <c r="B33" s="131" t="s">
        <v>163</v>
      </c>
      <c r="C33" s="131" t="s">
        <v>414</v>
      </c>
      <c r="D33" s="130" t="s">
        <v>598</v>
      </c>
      <c r="E33" s="31">
        <v>196000</v>
      </c>
      <c r="F33" s="31"/>
      <c r="G33" s="31">
        <v>195226</v>
      </c>
      <c r="H33" s="31"/>
      <c r="I33" s="31"/>
    </row>
    <row r="34" spans="2:9" ht="21">
      <c r="B34" s="131" t="s">
        <v>163</v>
      </c>
      <c r="C34" s="131" t="s">
        <v>414</v>
      </c>
      <c r="D34" s="130" t="s">
        <v>599</v>
      </c>
      <c r="E34" s="31">
        <v>446000</v>
      </c>
      <c r="F34" s="31"/>
      <c r="G34" s="31">
        <v>441885</v>
      </c>
      <c r="H34" s="31"/>
      <c r="I34" s="31"/>
    </row>
    <row r="35" spans="2:9" ht="21">
      <c r="B35" s="131" t="s">
        <v>163</v>
      </c>
      <c r="C35" s="131" t="s">
        <v>414</v>
      </c>
      <c r="D35" s="130" t="s">
        <v>619</v>
      </c>
      <c r="E35" s="31">
        <v>157400</v>
      </c>
      <c r="F35" s="31"/>
      <c r="G35" s="31">
        <v>154174</v>
      </c>
      <c r="H35" s="31"/>
      <c r="I35" s="31"/>
    </row>
    <row r="36" spans="2:9" ht="21">
      <c r="B36" s="131" t="s">
        <v>163</v>
      </c>
      <c r="C36" s="131" t="s">
        <v>414</v>
      </c>
      <c r="D36" s="130" t="s">
        <v>620</v>
      </c>
      <c r="E36" s="31">
        <v>425652</v>
      </c>
      <c r="F36" s="31"/>
      <c r="G36" s="31">
        <v>425652</v>
      </c>
      <c r="H36" s="31"/>
      <c r="I36" s="31"/>
    </row>
    <row r="37" spans="2:9" ht="21">
      <c r="B37" s="131" t="s">
        <v>163</v>
      </c>
      <c r="C37" s="131" t="s">
        <v>414</v>
      </c>
      <c r="D37" s="130" t="s">
        <v>602</v>
      </c>
      <c r="E37" s="31">
        <v>291600</v>
      </c>
      <c r="F37" s="31">
        <v>257535</v>
      </c>
      <c r="G37" s="31"/>
      <c r="H37" s="31">
        <v>257535</v>
      </c>
      <c r="I37" s="31"/>
    </row>
    <row r="38" spans="2:9" ht="21" thickBot="1">
      <c r="B38" s="433" t="s">
        <v>196</v>
      </c>
      <c r="C38" s="433"/>
      <c r="D38" s="433"/>
      <c r="E38" s="113"/>
      <c r="F38" s="113"/>
      <c r="G38" s="113"/>
      <c r="H38" s="113"/>
      <c r="I38" s="113">
        <f>SUM(I27:I37)</f>
        <v>0</v>
      </c>
    </row>
    <row r="39" ht="21" thickTop="1"/>
    <row r="41" spans="2:9" ht="21">
      <c r="B41" s="412" t="s">
        <v>376</v>
      </c>
      <c r="C41" s="412"/>
      <c r="D41" s="412"/>
      <c r="E41" s="412"/>
      <c r="F41" s="412"/>
      <c r="G41" s="412"/>
      <c r="H41" s="412"/>
      <c r="I41" s="412"/>
    </row>
    <row r="42" spans="2:9" ht="21">
      <c r="B42" s="412" t="s">
        <v>194</v>
      </c>
      <c r="C42" s="412"/>
      <c r="D42" s="412"/>
      <c r="E42" s="412"/>
      <c r="F42" s="412"/>
      <c r="G42" s="412"/>
      <c r="H42" s="412"/>
      <c r="I42" s="412"/>
    </row>
    <row r="43" spans="2:9" ht="21">
      <c r="B43" s="412" t="s">
        <v>650</v>
      </c>
      <c r="C43" s="412"/>
      <c r="D43" s="412"/>
      <c r="E43" s="412"/>
      <c r="F43" s="412"/>
      <c r="G43" s="412"/>
      <c r="H43" s="412"/>
      <c r="I43" s="412"/>
    </row>
    <row r="44" ht="21">
      <c r="B44" s="23" t="s">
        <v>674</v>
      </c>
    </row>
    <row r="45" ht="21">
      <c r="B45" s="7" t="s">
        <v>558</v>
      </c>
    </row>
    <row r="46" spans="2:9" ht="42" customHeight="1">
      <c r="B46" s="260" t="s">
        <v>200</v>
      </c>
      <c r="C46" s="260" t="s">
        <v>201</v>
      </c>
      <c r="D46" s="260" t="s">
        <v>202</v>
      </c>
      <c r="E46" s="39" t="s">
        <v>209</v>
      </c>
      <c r="F46" s="40" t="s">
        <v>210</v>
      </c>
      <c r="G46" s="260" t="s">
        <v>211</v>
      </c>
      <c r="H46" s="260" t="s">
        <v>212</v>
      </c>
      <c r="I46" s="330" t="s">
        <v>213</v>
      </c>
    </row>
    <row r="47" spans="2:9" ht="21">
      <c r="B47" s="131" t="s">
        <v>163</v>
      </c>
      <c r="C47" s="131" t="s">
        <v>414</v>
      </c>
      <c r="D47" s="130" t="s">
        <v>621</v>
      </c>
      <c r="E47" s="31">
        <v>338500</v>
      </c>
      <c r="F47" s="31">
        <v>338000</v>
      </c>
      <c r="G47" s="31"/>
      <c r="H47" s="31">
        <v>338000</v>
      </c>
      <c r="I47" s="31"/>
    </row>
    <row r="48" spans="2:9" ht="21">
      <c r="B48" s="131"/>
      <c r="C48" s="131"/>
      <c r="D48" s="130" t="s">
        <v>622</v>
      </c>
      <c r="E48" s="31"/>
      <c r="F48" s="31"/>
      <c r="G48" s="31"/>
      <c r="H48" s="31"/>
      <c r="I48" s="31"/>
    </row>
    <row r="49" spans="2:9" ht="21">
      <c r="B49" s="131" t="s">
        <v>163</v>
      </c>
      <c r="C49" s="131" t="s">
        <v>414</v>
      </c>
      <c r="D49" s="130" t="s">
        <v>605</v>
      </c>
      <c r="E49" s="31">
        <v>450000</v>
      </c>
      <c r="F49" s="31">
        <v>444000</v>
      </c>
      <c r="G49" s="31"/>
      <c r="H49" s="31">
        <v>444000</v>
      </c>
      <c r="I49" s="31"/>
    </row>
    <row r="50" spans="2:9" ht="21">
      <c r="B50" s="131" t="s">
        <v>163</v>
      </c>
      <c r="C50" s="131" t="s">
        <v>414</v>
      </c>
      <c r="D50" s="130" t="s">
        <v>606</v>
      </c>
      <c r="E50" s="31">
        <v>600000</v>
      </c>
      <c r="F50" s="31">
        <v>573000</v>
      </c>
      <c r="G50" s="31"/>
      <c r="H50" s="374">
        <v>573000</v>
      </c>
      <c r="I50" s="31"/>
    </row>
    <row r="51" spans="2:9" ht="21">
      <c r="B51" s="131" t="s">
        <v>163</v>
      </c>
      <c r="C51" s="131" t="s">
        <v>414</v>
      </c>
      <c r="D51" s="130" t="s">
        <v>623</v>
      </c>
      <c r="E51" s="31">
        <v>2746700</v>
      </c>
      <c r="F51" s="31">
        <v>1880000</v>
      </c>
      <c r="G51" s="31"/>
      <c r="H51" s="31">
        <v>1880000</v>
      </c>
      <c r="I51" s="31"/>
    </row>
    <row r="52" spans="2:9" ht="21">
      <c r="B52" s="131" t="s">
        <v>163</v>
      </c>
      <c r="C52" s="131" t="s">
        <v>414</v>
      </c>
      <c r="D52" s="130" t="s">
        <v>624</v>
      </c>
      <c r="E52" s="31">
        <v>4521500</v>
      </c>
      <c r="F52" s="31">
        <v>4032000</v>
      </c>
      <c r="G52" s="31"/>
      <c r="H52" s="31">
        <v>4032000</v>
      </c>
      <c r="I52" s="31"/>
    </row>
    <row r="53" spans="2:9" ht="21">
      <c r="B53" s="131"/>
      <c r="C53" s="131"/>
      <c r="D53" s="130"/>
      <c r="E53" s="31"/>
      <c r="F53" s="31"/>
      <c r="G53" s="31"/>
      <c r="H53" s="31"/>
      <c r="I53" s="31"/>
    </row>
    <row r="54" spans="2:9" ht="21">
      <c r="B54" s="28"/>
      <c r="C54" s="28"/>
      <c r="D54" s="130"/>
      <c r="E54" s="31"/>
      <c r="F54" s="31"/>
      <c r="G54" s="31"/>
      <c r="H54" s="31"/>
      <c r="I54" s="31"/>
    </row>
    <row r="55" spans="2:9" ht="21">
      <c r="B55" s="28"/>
      <c r="C55" s="28"/>
      <c r="D55" s="28"/>
      <c r="E55" s="31"/>
      <c r="F55" s="31"/>
      <c r="G55" s="31"/>
      <c r="H55" s="31"/>
      <c r="I55" s="31"/>
    </row>
    <row r="56" spans="2:9" ht="21">
      <c r="B56" s="28"/>
      <c r="C56" s="28"/>
      <c r="D56" s="28"/>
      <c r="E56" s="31"/>
      <c r="F56" s="31"/>
      <c r="G56" s="31"/>
      <c r="H56" s="31"/>
      <c r="I56" s="31"/>
    </row>
    <row r="57" spans="2:9" ht="21" thickBot="1">
      <c r="B57" s="433" t="s">
        <v>196</v>
      </c>
      <c r="C57" s="433"/>
      <c r="D57" s="433"/>
      <c r="E57" s="113">
        <f>E27+E28+E29+E30+E31+E33+E34++E35+E36+E37+E47+E49+E50+E51+E52</f>
        <v>11274152</v>
      </c>
      <c r="F57" s="113">
        <f>F37+F47+F49+F50+F51+F52</f>
        <v>7524535</v>
      </c>
      <c r="G57" s="113">
        <f>G27+G28+G29+G30+G31+G33+G34++G35+G36</f>
        <v>2238385</v>
      </c>
      <c r="H57" s="113">
        <f>H37+H47+H49+H50+H51+H52</f>
        <v>7524535</v>
      </c>
      <c r="I57" s="113">
        <f>SUM(I47:I56)</f>
        <v>0</v>
      </c>
    </row>
    <row r="58" ht="21" thickTop="1"/>
    <row r="63" ht="21">
      <c r="E63" s="7">
        <f>7524535-5912000</f>
        <v>1612535</v>
      </c>
    </row>
  </sheetData>
  <sheetProtection/>
  <mergeCells count="12">
    <mergeCell ref="B41:I41"/>
    <mergeCell ref="B42:I42"/>
    <mergeCell ref="B43:I43"/>
    <mergeCell ref="B57:D57"/>
    <mergeCell ref="B1:I1"/>
    <mergeCell ref="B2:I2"/>
    <mergeCell ref="B3:I3"/>
    <mergeCell ref="B20:D20"/>
    <mergeCell ref="B38:D38"/>
    <mergeCell ref="B21:I21"/>
    <mergeCell ref="B22:I22"/>
    <mergeCell ref="B23:I23"/>
  </mergeCells>
  <printOptions/>
  <pageMargins left="0.31496062992125984" right="0.31496062992125984" top="0.7480314960629921" bottom="0.35433070866141736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B1:E64"/>
  <sheetViews>
    <sheetView zoomScalePageLayoutView="0" workbookViewId="0" topLeftCell="A7">
      <selection activeCell="D18" sqref="D18"/>
    </sheetView>
  </sheetViews>
  <sheetFormatPr defaultColWidth="9.00390625" defaultRowHeight="15"/>
  <cols>
    <col min="1" max="1" width="19.421875" style="7" customWidth="1"/>
    <col min="2" max="2" width="12.421875" style="20" customWidth="1"/>
    <col min="3" max="3" width="42.57421875" style="7" customWidth="1"/>
    <col min="4" max="4" width="18.140625" style="7" customWidth="1"/>
    <col min="5" max="5" width="12.00390625" style="7" customWidth="1"/>
    <col min="6" max="16384" width="9.00390625" style="7" customWidth="1"/>
  </cols>
  <sheetData>
    <row r="1" spans="2:5" ht="21">
      <c r="B1" s="412"/>
      <c r="C1" s="412"/>
      <c r="D1" s="412"/>
      <c r="E1" s="412"/>
    </row>
    <row r="2" spans="2:5" ht="21">
      <c r="B2" s="412"/>
      <c r="C2" s="412"/>
      <c r="D2" s="412"/>
      <c r="E2" s="412"/>
    </row>
    <row r="3" spans="2:5" ht="21">
      <c r="B3" s="412"/>
      <c r="C3" s="412"/>
      <c r="D3" s="412"/>
      <c r="E3" s="412"/>
    </row>
    <row r="4" ht="21">
      <c r="B4" s="386" t="s">
        <v>682</v>
      </c>
    </row>
    <row r="5" ht="21">
      <c r="B5" s="20" t="s">
        <v>557</v>
      </c>
    </row>
    <row r="6" spans="2:5" s="386" customFormat="1" ht="42" customHeight="1">
      <c r="B6" s="38" t="s">
        <v>683</v>
      </c>
      <c r="C6" s="387" t="s">
        <v>62</v>
      </c>
      <c r="D6" s="39" t="s">
        <v>61</v>
      </c>
      <c r="E6" s="40" t="s">
        <v>181</v>
      </c>
    </row>
    <row r="7" spans="2:5" ht="21">
      <c r="B7" s="393">
        <v>1</v>
      </c>
      <c r="C7" s="28" t="s">
        <v>684</v>
      </c>
      <c r="D7" s="31">
        <v>57082.92</v>
      </c>
      <c r="E7" s="31"/>
    </row>
    <row r="8" spans="2:5" ht="21">
      <c r="B8" s="220">
        <v>2</v>
      </c>
      <c r="C8" s="28" t="s">
        <v>685</v>
      </c>
      <c r="D8" s="31">
        <v>35910</v>
      </c>
      <c r="E8" s="31"/>
    </row>
    <row r="9" spans="2:5" ht="21">
      <c r="B9" s="220">
        <v>3</v>
      </c>
      <c r="C9" s="28" t="s">
        <v>686</v>
      </c>
      <c r="D9" s="31">
        <v>3500</v>
      </c>
      <c r="E9" s="31"/>
    </row>
    <row r="10" spans="2:5" ht="21">
      <c r="B10" s="220">
        <v>4</v>
      </c>
      <c r="C10" s="28" t="s">
        <v>687</v>
      </c>
      <c r="D10" s="31">
        <v>1200</v>
      </c>
      <c r="E10" s="31"/>
    </row>
    <row r="11" spans="2:5" ht="21">
      <c r="B11" s="220"/>
      <c r="C11" s="28"/>
      <c r="D11" s="31"/>
      <c r="E11" s="31"/>
    </row>
    <row r="12" spans="2:5" ht="21">
      <c r="B12" s="392"/>
      <c r="C12" s="130"/>
      <c r="D12" s="31"/>
      <c r="E12" s="31"/>
    </row>
    <row r="13" spans="2:5" ht="21">
      <c r="B13" s="392"/>
      <c r="C13" s="130"/>
      <c r="D13" s="31"/>
      <c r="E13" s="31"/>
    </row>
    <row r="14" spans="2:5" ht="21">
      <c r="B14" s="220"/>
      <c r="C14" s="28"/>
      <c r="D14" s="31"/>
      <c r="E14" s="31"/>
    </row>
    <row r="15" spans="2:5" ht="21" thickBot="1">
      <c r="B15" s="433" t="s">
        <v>196</v>
      </c>
      <c r="C15" s="433"/>
      <c r="D15" s="113">
        <f>D7+D8-D9+D10</f>
        <v>90692.92</v>
      </c>
      <c r="E15" s="113">
        <f>SUM(E7:E13)</f>
        <v>0</v>
      </c>
    </row>
    <row r="16" spans="2:5" ht="21" thickTop="1">
      <c r="B16" s="412"/>
      <c r="C16" s="412"/>
      <c r="D16" s="412"/>
      <c r="E16" s="412"/>
    </row>
    <row r="17" spans="2:5" ht="21">
      <c r="B17" s="386"/>
      <c r="C17" s="386"/>
      <c r="D17" s="386"/>
      <c r="E17" s="386"/>
    </row>
    <row r="18" spans="2:5" ht="21">
      <c r="B18" s="386"/>
      <c r="C18" s="386"/>
      <c r="D18" s="386"/>
      <c r="E18" s="386"/>
    </row>
    <row r="19" spans="2:5" ht="21">
      <c r="B19" s="386"/>
      <c r="C19" s="386"/>
      <c r="D19" s="386"/>
      <c r="E19" s="386"/>
    </row>
    <row r="20" spans="2:5" ht="21">
      <c r="B20" s="386"/>
      <c r="C20" s="386"/>
      <c r="D20" s="386"/>
      <c r="E20" s="386"/>
    </row>
    <row r="21" spans="2:5" ht="21">
      <c r="B21" s="386"/>
      <c r="C21" s="386"/>
      <c r="D21" s="386"/>
      <c r="E21" s="386"/>
    </row>
    <row r="22" spans="2:5" ht="21">
      <c r="B22" s="386"/>
      <c r="C22" s="386"/>
      <c r="D22" s="386"/>
      <c r="E22" s="386"/>
    </row>
    <row r="23" spans="2:5" ht="21">
      <c r="B23" s="412"/>
      <c r="C23" s="412"/>
      <c r="D23" s="412"/>
      <c r="E23" s="412"/>
    </row>
    <row r="24" spans="2:5" ht="21">
      <c r="B24" s="412"/>
      <c r="C24" s="412"/>
      <c r="D24" s="412"/>
      <c r="E24" s="412"/>
    </row>
    <row r="25" ht="21">
      <c r="B25" s="386" t="s">
        <v>590</v>
      </c>
    </row>
    <row r="26" ht="21">
      <c r="B26" s="20" t="s">
        <v>558</v>
      </c>
    </row>
    <row r="27" spans="2:5" ht="42" customHeight="1">
      <c r="B27" s="38" t="s">
        <v>200</v>
      </c>
      <c r="C27" s="38" t="s">
        <v>202</v>
      </c>
      <c r="D27" s="39" t="s">
        <v>209</v>
      </c>
      <c r="E27" s="40" t="s">
        <v>210</v>
      </c>
    </row>
    <row r="28" spans="2:5" ht="21">
      <c r="B28" s="391" t="s">
        <v>163</v>
      </c>
      <c r="C28" s="259" t="s">
        <v>615</v>
      </c>
      <c r="D28" s="30">
        <v>316300</v>
      </c>
      <c r="E28" s="30"/>
    </row>
    <row r="29" spans="2:5" ht="21">
      <c r="B29" s="392" t="s">
        <v>163</v>
      </c>
      <c r="C29" s="130" t="s">
        <v>616</v>
      </c>
      <c r="D29" s="31">
        <v>152900</v>
      </c>
      <c r="E29" s="31"/>
    </row>
    <row r="30" spans="2:5" ht="21">
      <c r="B30" s="392" t="s">
        <v>163</v>
      </c>
      <c r="C30" s="130" t="s">
        <v>617</v>
      </c>
      <c r="D30" s="31">
        <v>381300</v>
      </c>
      <c r="E30" s="31"/>
    </row>
    <row r="31" spans="2:5" ht="21">
      <c r="B31" s="392" t="s">
        <v>163</v>
      </c>
      <c r="C31" s="130" t="s">
        <v>595</v>
      </c>
      <c r="D31" s="31">
        <v>144300</v>
      </c>
      <c r="E31" s="31"/>
    </row>
    <row r="32" spans="2:5" ht="21">
      <c r="B32" s="392" t="s">
        <v>163</v>
      </c>
      <c r="C32" s="130" t="s">
        <v>618</v>
      </c>
      <c r="D32" s="31">
        <v>106000</v>
      </c>
      <c r="E32" s="31"/>
    </row>
    <row r="33" spans="2:5" ht="21">
      <c r="B33" s="392"/>
      <c r="C33" s="130" t="s">
        <v>597</v>
      </c>
      <c r="D33" s="31"/>
      <c r="E33" s="31"/>
    </row>
    <row r="34" spans="2:5" ht="21">
      <c r="B34" s="392" t="s">
        <v>163</v>
      </c>
      <c r="C34" s="130" t="s">
        <v>598</v>
      </c>
      <c r="D34" s="31">
        <v>196000</v>
      </c>
      <c r="E34" s="31"/>
    </row>
    <row r="35" spans="2:5" ht="21">
      <c r="B35" s="392" t="s">
        <v>163</v>
      </c>
      <c r="C35" s="130" t="s">
        <v>599</v>
      </c>
      <c r="D35" s="31">
        <v>446000</v>
      </c>
      <c r="E35" s="31"/>
    </row>
    <row r="36" spans="2:5" ht="21">
      <c r="B36" s="392" t="s">
        <v>163</v>
      </c>
      <c r="C36" s="130" t="s">
        <v>619</v>
      </c>
      <c r="D36" s="31">
        <v>157400</v>
      </c>
      <c r="E36" s="31"/>
    </row>
    <row r="37" spans="2:5" ht="21">
      <c r="B37" s="392" t="s">
        <v>163</v>
      </c>
      <c r="C37" s="130" t="s">
        <v>620</v>
      </c>
      <c r="D37" s="31">
        <v>425652</v>
      </c>
      <c r="E37" s="31"/>
    </row>
    <row r="38" spans="2:5" ht="21">
      <c r="B38" s="392" t="s">
        <v>163</v>
      </c>
      <c r="C38" s="130" t="s">
        <v>602</v>
      </c>
      <c r="D38" s="31">
        <v>291600</v>
      </c>
      <c r="E38" s="31">
        <v>257535</v>
      </c>
    </row>
    <row r="39" spans="2:5" ht="21" thickBot="1">
      <c r="B39" s="433" t="s">
        <v>196</v>
      </c>
      <c r="C39" s="433"/>
      <c r="D39" s="113"/>
      <c r="E39" s="113"/>
    </row>
    <row r="40" ht="21" thickTop="1"/>
    <row r="42" spans="2:5" ht="21">
      <c r="B42" s="412" t="s">
        <v>376</v>
      </c>
      <c r="C42" s="412"/>
      <c r="D42" s="412"/>
      <c r="E42" s="412"/>
    </row>
    <row r="43" spans="2:5" ht="21">
      <c r="B43" s="412" t="s">
        <v>194</v>
      </c>
      <c r="C43" s="412"/>
      <c r="D43" s="412"/>
      <c r="E43" s="412"/>
    </row>
    <row r="44" spans="2:5" ht="21">
      <c r="B44" s="412" t="s">
        <v>650</v>
      </c>
      <c r="C44" s="412"/>
      <c r="D44" s="412"/>
      <c r="E44" s="412"/>
    </row>
    <row r="45" ht="21">
      <c r="B45" s="386" t="s">
        <v>674</v>
      </c>
    </row>
    <row r="46" ht="21">
      <c r="B46" s="20" t="s">
        <v>558</v>
      </c>
    </row>
    <row r="47" spans="2:5" ht="42" customHeight="1">
      <c r="B47" s="387" t="s">
        <v>200</v>
      </c>
      <c r="C47" s="387" t="s">
        <v>202</v>
      </c>
      <c r="D47" s="39" t="s">
        <v>209</v>
      </c>
      <c r="E47" s="40" t="s">
        <v>210</v>
      </c>
    </row>
    <row r="48" spans="2:5" ht="21">
      <c r="B48" s="392" t="s">
        <v>163</v>
      </c>
      <c r="C48" s="130" t="s">
        <v>621</v>
      </c>
      <c r="D48" s="31">
        <v>338500</v>
      </c>
      <c r="E48" s="31">
        <v>338000</v>
      </c>
    </row>
    <row r="49" spans="2:5" ht="21">
      <c r="B49" s="392"/>
      <c r="C49" s="130" t="s">
        <v>622</v>
      </c>
      <c r="D49" s="31"/>
      <c r="E49" s="31"/>
    </row>
    <row r="50" spans="2:5" ht="21">
      <c r="B50" s="392" t="s">
        <v>163</v>
      </c>
      <c r="C50" s="130" t="s">
        <v>605</v>
      </c>
      <c r="D50" s="31">
        <v>450000</v>
      </c>
      <c r="E50" s="31">
        <v>444000</v>
      </c>
    </row>
    <row r="51" spans="2:5" ht="21">
      <c r="B51" s="392" t="s">
        <v>163</v>
      </c>
      <c r="C51" s="130" t="s">
        <v>606</v>
      </c>
      <c r="D51" s="31">
        <v>600000</v>
      </c>
      <c r="E51" s="31">
        <v>573000</v>
      </c>
    </row>
    <row r="52" spans="2:5" ht="21">
      <c r="B52" s="392" t="s">
        <v>163</v>
      </c>
      <c r="C52" s="130" t="s">
        <v>623</v>
      </c>
      <c r="D52" s="31">
        <v>2746700</v>
      </c>
      <c r="E52" s="31">
        <v>1880000</v>
      </c>
    </row>
    <row r="53" spans="2:5" ht="21">
      <c r="B53" s="392" t="s">
        <v>163</v>
      </c>
      <c r="C53" s="130" t="s">
        <v>624</v>
      </c>
      <c r="D53" s="31">
        <v>4521500</v>
      </c>
      <c r="E53" s="31">
        <v>4032000</v>
      </c>
    </row>
    <row r="54" spans="2:5" ht="21">
      <c r="B54" s="392"/>
      <c r="C54" s="130"/>
      <c r="D54" s="31"/>
      <c r="E54" s="31"/>
    </row>
    <row r="55" spans="2:5" ht="21">
      <c r="B55" s="220"/>
      <c r="C55" s="130"/>
      <c r="D55" s="31"/>
      <c r="E55" s="31"/>
    </row>
    <row r="56" spans="2:5" ht="21">
      <c r="B56" s="220"/>
      <c r="C56" s="28"/>
      <c r="D56" s="31"/>
      <c r="E56" s="31"/>
    </row>
    <row r="57" spans="2:5" ht="21">
      <c r="B57" s="220"/>
      <c r="C57" s="28"/>
      <c r="D57" s="31"/>
      <c r="E57" s="31"/>
    </row>
    <row r="58" spans="2:5" ht="21" thickBot="1">
      <c r="B58" s="433" t="s">
        <v>196</v>
      </c>
      <c r="C58" s="433"/>
      <c r="D58" s="113">
        <f>D28+D29+D30+D31+D32+D34+D35++D36+D37+D38+D48+D50+D51+D52+D53</f>
        <v>11274152</v>
      </c>
      <c r="E58" s="113">
        <f>E38+E48+E50+E51+E52+E53</f>
        <v>7524535</v>
      </c>
    </row>
    <row r="59" ht="21" thickTop="1"/>
    <row r="64" ht="21">
      <c r="D64" s="7">
        <f>7524535-5912000</f>
        <v>1612535</v>
      </c>
    </row>
  </sheetData>
  <sheetProtection/>
  <mergeCells count="12">
    <mergeCell ref="B1:E1"/>
    <mergeCell ref="B2:E2"/>
    <mergeCell ref="B3:E3"/>
    <mergeCell ref="B15:C15"/>
    <mergeCell ref="B16:E16"/>
    <mergeCell ref="B23:E23"/>
    <mergeCell ref="B24:E24"/>
    <mergeCell ref="B39:C39"/>
    <mergeCell ref="B42:E42"/>
    <mergeCell ref="B43:E43"/>
    <mergeCell ref="B44:E44"/>
    <mergeCell ref="B58:C58"/>
  </mergeCells>
  <printOptions/>
  <pageMargins left="0.31496062992125984" right="0.31496062992125984" top="0.7480314960629921" bottom="0.35433070866141736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"/>
  <sheetViews>
    <sheetView zoomScalePageLayoutView="0" workbookViewId="0" topLeftCell="A1">
      <selection activeCell="F11" sqref="F11"/>
    </sheetView>
  </sheetViews>
  <sheetFormatPr defaultColWidth="9.00390625" defaultRowHeight="15"/>
  <cols>
    <col min="1" max="1" width="9.00390625" style="7" customWidth="1"/>
    <col min="2" max="2" width="17.421875" style="7" customWidth="1"/>
    <col min="3" max="3" width="15.8515625" style="7" customWidth="1"/>
    <col min="4" max="4" width="23.421875" style="7" customWidth="1"/>
    <col min="5" max="5" width="23.00390625" style="7" customWidth="1"/>
    <col min="6" max="7" width="18.140625" style="7" customWidth="1"/>
    <col min="8" max="16384" width="9.00390625" style="7" customWidth="1"/>
  </cols>
  <sheetData>
    <row r="1" spans="2:7" ht="21">
      <c r="B1" s="412" t="str">
        <f>+งบแสดงฐานะการเงิน!A1</f>
        <v>องค์การบริหารส่วนตำบลคอกควาย</v>
      </c>
      <c r="C1" s="412"/>
      <c r="D1" s="412"/>
      <c r="E1" s="412"/>
      <c r="F1" s="412"/>
      <c r="G1" s="412"/>
    </row>
    <row r="2" spans="2:7" ht="21">
      <c r="B2" s="412" t="s">
        <v>629</v>
      </c>
      <c r="C2" s="412"/>
      <c r="D2" s="412"/>
      <c r="E2" s="412"/>
      <c r="F2" s="412"/>
      <c r="G2" s="412"/>
    </row>
    <row r="3" spans="2:7" ht="21">
      <c r="B3" s="412" t="s">
        <v>675</v>
      </c>
      <c r="C3" s="412"/>
      <c r="D3" s="412"/>
      <c r="E3" s="412"/>
      <c r="F3" s="412"/>
      <c r="G3" s="412"/>
    </row>
    <row r="6" spans="1:7" s="25" customFormat="1" ht="30.75" customHeight="1">
      <c r="A6" s="277"/>
      <c r="B6" s="38" t="s">
        <v>214</v>
      </c>
      <c r="C6" s="38" t="s">
        <v>200</v>
      </c>
      <c r="D6" s="38" t="s">
        <v>197</v>
      </c>
      <c r="E6" s="39" t="s">
        <v>59</v>
      </c>
      <c r="F6" s="40" t="s">
        <v>154</v>
      </c>
      <c r="G6" s="38" t="s">
        <v>196</v>
      </c>
    </row>
    <row r="7" spans="2:7" ht="21">
      <c r="B7" s="27" t="s">
        <v>154</v>
      </c>
      <c r="C7" s="27" t="s">
        <v>154</v>
      </c>
      <c r="D7" s="27" t="s">
        <v>565</v>
      </c>
      <c r="E7" s="30">
        <v>10859300</v>
      </c>
      <c r="F7" s="30">
        <v>10333896</v>
      </c>
      <c r="G7" s="30">
        <f aca="true" t="shared" si="0" ref="G7:G12">+F7</f>
        <v>10333896</v>
      </c>
    </row>
    <row r="8" spans="2:7" ht="21">
      <c r="B8" s="28"/>
      <c r="C8" s="28"/>
      <c r="D8" s="28"/>
      <c r="E8" s="31"/>
      <c r="F8" s="31"/>
      <c r="G8" s="31">
        <f t="shared" si="0"/>
        <v>0</v>
      </c>
    </row>
    <row r="9" spans="2:7" ht="21">
      <c r="B9" s="28"/>
      <c r="C9" s="28"/>
      <c r="D9" s="28"/>
      <c r="E9" s="31"/>
      <c r="F9" s="31"/>
      <c r="G9" s="31">
        <f t="shared" si="0"/>
        <v>0</v>
      </c>
    </row>
    <row r="10" spans="2:7" ht="21">
      <c r="B10" s="28"/>
      <c r="C10" s="28"/>
      <c r="D10" s="28"/>
      <c r="E10" s="31"/>
      <c r="F10" s="31"/>
      <c r="G10" s="31">
        <f t="shared" si="0"/>
        <v>0</v>
      </c>
    </row>
    <row r="11" spans="2:7" ht="21">
      <c r="B11" s="28"/>
      <c r="C11" s="28"/>
      <c r="D11" s="28"/>
      <c r="E11" s="31"/>
      <c r="F11" s="31"/>
      <c r="G11" s="31">
        <f t="shared" si="0"/>
        <v>0</v>
      </c>
    </row>
    <row r="12" spans="2:7" ht="21">
      <c r="B12" s="28"/>
      <c r="C12" s="28"/>
      <c r="D12" s="28"/>
      <c r="E12" s="31"/>
      <c r="F12" s="31"/>
      <c r="G12" s="32">
        <f t="shared" si="0"/>
        <v>0</v>
      </c>
    </row>
    <row r="13" spans="2:7" ht="21" thickBot="1">
      <c r="B13" s="433" t="s">
        <v>196</v>
      </c>
      <c r="C13" s="433"/>
      <c r="D13" s="433"/>
      <c r="E13" s="34">
        <f>SUM(E7:E12)</f>
        <v>10859300</v>
      </c>
      <c r="F13" s="34">
        <f>SUM(F7:F12)</f>
        <v>10333896</v>
      </c>
      <c r="G13" s="34">
        <f>SUM(G7:G12)</f>
        <v>10333896</v>
      </c>
    </row>
    <row r="14" ht="21" thickTop="1"/>
    <row r="15" ht="21">
      <c r="B15" s="23" t="s">
        <v>215</v>
      </c>
    </row>
  </sheetData>
  <sheetProtection/>
  <mergeCells count="4">
    <mergeCell ref="B1:G1"/>
    <mergeCell ref="B2:G2"/>
    <mergeCell ref="B3:G3"/>
    <mergeCell ref="B13:D13"/>
  </mergeCells>
  <printOptions/>
  <pageMargins left="0.31496062992125984" right="0.31496062992125984" top="0.7480314960629921" bottom="0.35433070866141736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"/>
  <sheetViews>
    <sheetView zoomScalePageLayoutView="0" workbookViewId="0" topLeftCell="A4">
      <selection activeCell="H12" sqref="H12"/>
    </sheetView>
  </sheetViews>
  <sheetFormatPr defaultColWidth="9.00390625" defaultRowHeight="15"/>
  <cols>
    <col min="1" max="1" width="9.00390625" style="7" customWidth="1"/>
    <col min="2" max="2" width="15.7109375" style="7" customWidth="1"/>
    <col min="3" max="3" width="20.140625" style="7" customWidth="1"/>
    <col min="4" max="4" width="15.421875" style="7" customWidth="1"/>
    <col min="5" max="5" width="16.00390625" style="7" customWidth="1"/>
    <col min="6" max="6" width="16.421875" style="7" customWidth="1"/>
    <col min="7" max="7" width="16.140625" style="7" customWidth="1"/>
    <col min="8" max="8" width="17.421875" style="7" customWidth="1"/>
    <col min="9" max="16384" width="9.00390625" style="7" customWidth="1"/>
  </cols>
  <sheetData>
    <row r="1" spans="2:8" ht="21">
      <c r="B1" s="412" t="str">
        <f>+งบแสดงฐานะการเงิน!A1</f>
        <v>องค์การบริหารส่วนตำบลคอกควาย</v>
      </c>
      <c r="C1" s="412"/>
      <c r="D1" s="412"/>
      <c r="E1" s="412"/>
      <c r="F1" s="412"/>
      <c r="G1" s="412"/>
      <c r="H1" s="412"/>
    </row>
    <row r="2" spans="2:8" ht="21">
      <c r="B2" s="412" t="s">
        <v>628</v>
      </c>
      <c r="C2" s="412"/>
      <c r="D2" s="412"/>
      <c r="E2" s="412"/>
      <c r="F2" s="412"/>
      <c r="G2" s="412"/>
      <c r="H2" s="412"/>
    </row>
    <row r="3" spans="2:8" ht="21">
      <c r="B3" s="412" t="str">
        <f>+'ตามแผนงาน 1'!B3:G3</f>
        <v>ตั้งแต่วันที่  1  ตุลาคม  2560      ถึง 30   กันยายน  2561</v>
      </c>
      <c r="C3" s="412"/>
      <c r="D3" s="412"/>
      <c r="E3" s="412"/>
      <c r="F3" s="412"/>
      <c r="G3" s="412"/>
      <c r="H3" s="412"/>
    </row>
    <row r="5" spans="1:8" s="25" customFormat="1" ht="32.25" customHeight="1">
      <c r="A5" s="277"/>
      <c r="B5" s="38" t="s">
        <v>214</v>
      </c>
      <c r="C5" s="38" t="s">
        <v>200</v>
      </c>
      <c r="D5" s="38" t="s">
        <v>197</v>
      </c>
      <c r="E5" s="39" t="s">
        <v>59</v>
      </c>
      <c r="F5" s="40" t="s">
        <v>224</v>
      </c>
      <c r="G5" s="42" t="s">
        <v>225</v>
      </c>
      <c r="H5" s="38" t="s">
        <v>196</v>
      </c>
    </row>
    <row r="6" spans="2:8" ht="21">
      <c r="B6" s="27" t="s">
        <v>216</v>
      </c>
      <c r="C6" s="27" t="s">
        <v>217</v>
      </c>
      <c r="D6" s="27" t="s">
        <v>565</v>
      </c>
      <c r="E6" s="30">
        <v>3607920</v>
      </c>
      <c r="F6" s="30">
        <v>3607920</v>
      </c>
      <c r="G6" s="30"/>
      <c r="H6" s="30">
        <f>SUM(F6:G6)</f>
        <v>3607920</v>
      </c>
    </row>
    <row r="7" spans="2:8" ht="21">
      <c r="B7" s="28"/>
      <c r="C7" s="28" t="s">
        <v>218</v>
      </c>
      <c r="D7" s="28" t="s">
        <v>565</v>
      </c>
      <c r="E7" s="31">
        <f>3527000+240000</f>
        <v>3767000</v>
      </c>
      <c r="F7" s="31">
        <f>1870340</f>
        <v>1870340</v>
      </c>
      <c r="G7" s="31">
        <f>938513</f>
        <v>938513</v>
      </c>
      <c r="H7" s="31">
        <f aca="true" t="shared" si="0" ref="H7:H13">SUM(F7:G7)</f>
        <v>2808853</v>
      </c>
    </row>
    <row r="8" spans="2:8" ht="21">
      <c r="B8" s="28" t="s">
        <v>219</v>
      </c>
      <c r="C8" s="41" t="s">
        <v>149</v>
      </c>
      <c r="D8" s="28" t="s">
        <v>565</v>
      </c>
      <c r="E8" s="31">
        <f>406000</f>
        <v>406000</v>
      </c>
      <c r="F8" s="31">
        <v>228500</v>
      </c>
      <c r="G8" s="31">
        <v>26250</v>
      </c>
      <c r="H8" s="31">
        <f t="shared" si="0"/>
        <v>254750</v>
      </c>
    </row>
    <row r="9" spans="2:8" ht="21">
      <c r="B9" s="28"/>
      <c r="C9" s="41" t="s">
        <v>150</v>
      </c>
      <c r="D9" s="28" t="s">
        <v>565</v>
      </c>
      <c r="E9" s="31">
        <v>1466000</v>
      </c>
      <c r="F9" s="31">
        <v>904589.77</v>
      </c>
      <c r="G9" s="31">
        <v>141650</v>
      </c>
      <c r="H9" s="31">
        <f t="shared" si="0"/>
        <v>1046239.77</v>
      </c>
    </row>
    <row r="10" spans="2:8" ht="21">
      <c r="B10" s="28"/>
      <c r="C10" s="41" t="s">
        <v>151</v>
      </c>
      <c r="D10" s="28" t="s">
        <v>565</v>
      </c>
      <c r="E10" s="31">
        <f>579830-98000</f>
        <v>481830</v>
      </c>
      <c r="F10" s="31">
        <v>401007.6</v>
      </c>
      <c r="G10" s="31">
        <v>51030</v>
      </c>
      <c r="H10" s="31">
        <f t="shared" si="0"/>
        <v>452037.6</v>
      </c>
    </row>
    <row r="11" spans="2:8" ht="21">
      <c r="B11" s="28"/>
      <c r="C11" s="41" t="s">
        <v>220</v>
      </c>
      <c r="D11" s="28" t="s">
        <v>565</v>
      </c>
      <c r="E11" s="31">
        <f>527000-50000</f>
        <v>477000</v>
      </c>
      <c r="F11" s="31">
        <v>337316.66</v>
      </c>
      <c r="G11" s="31">
        <v>0</v>
      </c>
      <c r="H11" s="31">
        <f t="shared" si="0"/>
        <v>337316.66</v>
      </c>
    </row>
    <row r="12" spans="2:8" ht="21">
      <c r="B12" s="28" t="s">
        <v>222</v>
      </c>
      <c r="C12" s="41" t="s">
        <v>221</v>
      </c>
      <c r="D12" s="28" t="s">
        <v>565</v>
      </c>
      <c r="E12" s="31">
        <v>837000</v>
      </c>
      <c r="F12" s="31">
        <v>811900</v>
      </c>
      <c r="G12" s="31">
        <v>20060</v>
      </c>
      <c r="H12" s="31">
        <f t="shared" si="0"/>
        <v>831960</v>
      </c>
    </row>
    <row r="13" spans="2:8" ht="21">
      <c r="B13" s="28" t="s">
        <v>223</v>
      </c>
      <c r="C13" s="41" t="s">
        <v>56</v>
      </c>
      <c r="D13" s="28" t="s">
        <v>565</v>
      </c>
      <c r="E13" s="31">
        <f>1558000</f>
        <v>1558000</v>
      </c>
      <c r="F13" s="31">
        <v>1533264.41</v>
      </c>
      <c r="G13" s="31"/>
      <c r="H13" s="32">
        <f t="shared" si="0"/>
        <v>1533264.41</v>
      </c>
    </row>
    <row r="14" spans="2:8" ht="21" thickBot="1">
      <c r="B14" s="433" t="s">
        <v>196</v>
      </c>
      <c r="C14" s="433"/>
      <c r="D14" s="433"/>
      <c r="E14" s="34">
        <f>SUM(E6:E13)</f>
        <v>12600750</v>
      </c>
      <c r="F14" s="34">
        <f>SUM(F6:F13)</f>
        <v>9694838.44</v>
      </c>
      <c r="G14" s="34">
        <f>SUM(G6:G13)</f>
        <v>1177503</v>
      </c>
      <c r="H14" s="34">
        <f>SUM(H6:H13)</f>
        <v>10872341.44</v>
      </c>
    </row>
    <row r="15" ht="21" thickTop="1"/>
    <row r="16" ht="21">
      <c r="B16" s="23" t="s">
        <v>215</v>
      </c>
    </row>
  </sheetData>
  <sheetProtection/>
  <mergeCells count="4">
    <mergeCell ref="B1:H1"/>
    <mergeCell ref="B2:H2"/>
    <mergeCell ref="B3:H3"/>
    <mergeCell ref="B14:D14"/>
  </mergeCells>
  <printOptions/>
  <pageMargins left="0.31496062992125984" right="0.31496062992125984" top="0.7480314960629921" bottom="0.35433070866141736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"/>
  <sheetViews>
    <sheetView zoomScalePageLayoutView="0" workbookViewId="0" topLeftCell="A1">
      <selection activeCell="G8" sqref="G8"/>
    </sheetView>
  </sheetViews>
  <sheetFormatPr defaultColWidth="9.00390625" defaultRowHeight="15"/>
  <cols>
    <col min="1" max="1" width="9.00390625" style="7" customWidth="1"/>
    <col min="2" max="2" width="15.7109375" style="7" customWidth="1"/>
    <col min="3" max="3" width="20.140625" style="7" customWidth="1"/>
    <col min="4" max="4" width="18.00390625" style="7" customWidth="1"/>
    <col min="5" max="5" width="17.8515625" style="7" customWidth="1"/>
    <col min="6" max="6" width="20.140625" style="7" customWidth="1"/>
    <col min="7" max="7" width="20.00390625" style="7" customWidth="1"/>
    <col min="8" max="16384" width="9.00390625" style="7" customWidth="1"/>
  </cols>
  <sheetData>
    <row r="1" spans="2:7" ht="21">
      <c r="B1" s="412" t="str">
        <f>+งบแสดงฐานะการเงิน!A1</f>
        <v>องค์การบริหารส่วนตำบลคอกควาย</v>
      </c>
      <c r="C1" s="412"/>
      <c r="D1" s="412"/>
      <c r="E1" s="412"/>
      <c r="F1" s="412"/>
      <c r="G1" s="412"/>
    </row>
    <row r="2" spans="2:7" ht="21">
      <c r="B2" s="412" t="s">
        <v>627</v>
      </c>
      <c r="C2" s="412"/>
      <c r="D2" s="412"/>
      <c r="E2" s="412"/>
      <c r="F2" s="412"/>
      <c r="G2" s="412"/>
    </row>
    <row r="3" spans="2:7" ht="21">
      <c r="B3" s="412" t="str">
        <f>+'ตามแผนงาน 1'!B3:G3</f>
        <v>ตั้งแต่วันที่  1  ตุลาคม  2560      ถึง 30   กันยายน  2561</v>
      </c>
      <c r="C3" s="412"/>
      <c r="D3" s="412"/>
      <c r="E3" s="412"/>
      <c r="F3" s="412"/>
      <c r="G3" s="412"/>
    </row>
    <row r="5" spans="1:7" s="25" customFormat="1" ht="42">
      <c r="A5" s="277"/>
      <c r="B5" s="267" t="s">
        <v>214</v>
      </c>
      <c r="C5" s="267" t="s">
        <v>200</v>
      </c>
      <c r="D5" s="267" t="s">
        <v>197</v>
      </c>
      <c r="E5" s="39" t="s">
        <v>59</v>
      </c>
      <c r="F5" s="43" t="s">
        <v>226</v>
      </c>
      <c r="G5" s="267" t="s">
        <v>196</v>
      </c>
    </row>
    <row r="6" spans="2:7" ht="21">
      <c r="B6" s="28" t="s">
        <v>216</v>
      </c>
      <c r="C6" s="28" t="s">
        <v>218</v>
      </c>
      <c r="D6" s="28" t="s">
        <v>565</v>
      </c>
      <c r="E6" s="31">
        <v>322000</v>
      </c>
      <c r="F6" s="31">
        <v>296520</v>
      </c>
      <c r="G6" s="31">
        <f>SUM(F6:F6)</f>
        <v>296520</v>
      </c>
    </row>
    <row r="7" spans="2:7" ht="21">
      <c r="B7" s="28" t="s">
        <v>219</v>
      </c>
      <c r="C7" s="41" t="s">
        <v>149</v>
      </c>
      <c r="D7" s="28" t="s">
        <v>565</v>
      </c>
      <c r="E7" s="31">
        <v>25000</v>
      </c>
      <c r="F7" s="31">
        <v>0</v>
      </c>
      <c r="G7" s="31">
        <f>SUM(F7:F7)</f>
        <v>0</v>
      </c>
    </row>
    <row r="8" spans="2:7" ht="21">
      <c r="B8" s="28"/>
      <c r="C8" s="41" t="s">
        <v>150</v>
      </c>
      <c r="D8" s="28" t="s">
        <v>565</v>
      </c>
      <c r="E8" s="31">
        <v>170000</v>
      </c>
      <c r="F8" s="31">
        <v>109525</v>
      </c>
      <c r="G8" s="31">
        <f>SUM(F8:F8)</f>
        <v>109525</v>
      </c>
    </row>
    <row r="9" spans="2:7" ht="21">
      <c r="B9" s="28"/>
      <c r="C9" s="41" t="s">
        <v>151</v>
      </c>
      <c r="D9" s="28" t="s">
        <v>565</v>
      </c>
      <c r="E9" s="31">
        <v>80000</v>
      </c>
      <c r="F9" s="31">
        <v>20555.5</v>
      </c>
      <c r="G9" s="31">
        <f>SUM(F9:F9)</f>
        <v>20555.5</v>
      </c>
    </row>
    <row r="10" spans="2:7" ht="21">
      <c r="B10" s="28" t="s">
        <v>222</v>
      </c>
      <c r="C10" s="41" t="s">
        <v>221</v>
      </c>
      <c r="D10" s="28" t="s">
        <v>565</v>
      </c>
      <c r="E10" s="31">
        <v>0</v>
      </c>
      <c r="F10" s="31"/>
      <c r="G10" s="31">
        <f>SUM(F10:F10)</f>
        <v>0</v>
      </c>
    </row>
    <row r="11" spans="2:7" ht="21" thickBot="1">
      <c r="B11" s="433" t="s">
        <v>196</v>
      </c>
      <c r="C11" s="433"/>
      <c r="D11" s="433"/>
      <c r="E11" s="34">
        <f>SUM(E6:E10)</f>
        <v>597000</v>
      </c>
      <c r="F11" s="34">
        <f>SUM(F6:F10)</f>
        <v>426600.5</v>
      </c>
      <c r="G11" s="34">
        <f>SUM(G6:G10)</f>
        <v>426600.5</v>
      </c>
    </row>
    <row r="12" ht="21" thickTop="1"/>
    <row r="13" ht="21">
      <c r="B13" s="23" t="s">
        <v>215</v>
      </c>
    </row>
  </sheetData>
  <sheetProtection/>
  <mergeCells count="4">
    <mergeCell ref="B1:G1"/>
    <mergeCell ref="B2:G2"/>
    <mergeCell ref="B3:G3"/>
    <mergeCell ref="B11:D11"/>
  </mergeCells>
  <printOptions/>
  <pageMargins left="0.31496062992125984" right="0.31496062992125984" top="0.7480314960629921" bottom="0.35433070866141736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"/>
  <sheetViews>
    <sheetView zoomScale="90" zoomScaleNormal="90" zoomScalePageLayoutView="0" workbookViewId="0" topLeftCell="A2">
      <selection activeCell="G10" sqref="G10"/>
    </sheetView>
  </sheetViews>
  <sheetFormatPr defaultColWidth="9.00390625" defaultRowHeight="15"/>
  <cols>
    <col min="1" max="1" width="9.00390625" style="7" customWidth="1"/>
    <col min="2" max="2" width="15.7109375" style="7" customWidth="1"/>
    <col min="3" max="3" width="20.140625" style="7" customWidth="1"/>
    <col min="4" max="4" width="16.140625" style="7" customWidth="1"/>
    <col min="5" max="5" width="20.421875" style="7" customWidth="1"/>
    <col min="6" max="6" width="21.57421875" style="7" customWidth="1"/>
    <col min="7" max="7" width="20.00390625" style="7" customWidth="1"/>
    <col min="8" max="8" width="22.140625" style="7" customWidth="1"/>
    <col min="9" max="16384" width="9.00390625" style="7" customWidth="1"/>
  </cols>
  <sheetData>
    <row r="1" spans="2:8" ht="21">
      <c r="B1" s="412" t="str">
        <f>+งบแสดงฐานะการเงิน!A1</f>
        <v>องค์การบริหารส่วนตำบลคอกควาย</v>
      </c>
      <c r="C1" s="412"/>
      <c r="D1" s="412"/>
      <c r="E1" s="412"/>
      <c r="F1" s="412"/>
      <c r="G1" s="412"/>
      <c r="H1" s="412"/>
    </row>
    <row r="2" spans="2:8" ht="21">
      <c r="B2" s="412" t="s">
        <v>630</v>
      </c>
      <c r="C2" s="412"/>
      <c r="D2" s="412"/>
      <c r="E2" s="412"/>
      <c r="F2" s="412"/>
      <c r="G2" s="412"/>
      <c r="H2" s="412"/>
    </row>
    <row r="3" spans="2:8" ht="21">
      <c r="B3" s="412" t="str">
        <f>+'ตามแผนงาน 1'!B3:G3</f>
        <v>ตั้งแต่วันที่  1  ตุลาคม  2560      ถึง 30   กันยายน  2561</v>
      </c>
      <c r="C3" s="412"/>
      <c r="D3" s="412"/>
      <c r="E3" s="412"/>
      <c r="F3" s="412"/>
      <c r="G3" s="412"/>
      <c r="H3" s="412"/>
    </row>
    <row r="5" spans="1:8" s="25" customFormat="1" ht="63">
      <c r="A5" s="277"/>
      <c r="B5" s="267" t="s">
        <v>214</v>
      </c>
      <c r="C5" s="267" t="s">
        <v>200</v>
      </c>
      <c r="D5" s="267" t="s">
        <v>197</v>
      </c>
      <c r="E5" s="39" t="s">
        <v>59</v>
      </c>
      <c r="F5" s="43" t="s">
        <v>227</v>
      </c>
      <c r="G5" s="43" t="s">
        <v>228</v>
      </c>
      <c r="H5" s="267" t="s">
        <v>196</v>
      </c>
    </row>
    <row r="6" spans="2:8" ht="21">
      <c r="B6" s="28" t="s">
        <v>216</v>
      </c>
      <c r="C6" s="28" t="s">
        <v>218</v>
      </c>
      <c r="D6" s="28" t="s">
        <v>565</v>
      </c>
      <c r="E6" s="31">
        <v>2136000</v>
      </c>
      <c r="F6" s="31">
        <v>407220</v>
      </c>
      <c r="G6" s="31">
        <v>1468592.5</v>
      </c>
      <c r="H6" s="31">
        <f aca="true" t="shared" si="0" ref="H6:H13">SUM(F6:G6)</f>
        <v>1875812.5</v>
      </c>
    </row>
    <row r="7" spans="2:8" ht="21">
      <c r="B7" s="28" t="s">
        <v>219</v>
      </c>
      <c r="C7" s="41" t="s">
        <v>149</v>
      </c>
      <c r="D7" s="28" t="s">
        <v>565</v>
      </c>
      <c r="E7" s="31">
        <v>131000</v>
      </c>
      <c r="F7" s="31">
        <v>36600</v>
      </c>
      <c r="G7" s="31">
        <v>7800</v>
      </c>
      <c r="H7" s="31">
        <f t="shared" si="0"/>
        <v>44400</v>
      </c>
    </row>
    <row r="8" spans="2:8" ht="21">
      <c r="B8" s="28"/>
      <c r="C8" s="41" t="s">
        <v>150</v>
      </c>
      <c r="D8" s="28" t="s">
        <v>565</v>
      </c>
      <c r="E8" s="31">
        <v>1312400</v>
      </c>
      <c r="F8" s="31">
        <f>121222+48740</f>
        <v>169962</v>
      </c>
      <c r="G8" s="31">
        <f>945560</f>
        <v>945560</v>
      </c>
      <c r="H8" s="31">
        <f t="shared" si="0"/>
        <v>1115522</v>
      </c>
    </row>
    <row r="9" spans="2:8" ht="21">
      <c r="B9" s="28"/>
      <c r="C9" s="41" t="s">
        <v>151</v>
      </c>
      <c r="D9" s="28" t="s">
        <v>565</v>
      </c>
      <c r="E9" s="31">
        <v>1731850</v>
      </c>
      <c r="F9" s="31">
        <v>125911</v>
      </c>
      <c r="G9" s="31">
        <f>1660392.08-125911</f>
        <v>1534481.08</v>
      </c>
      <c r="H9" s="31">
        <f t="shared" si="0"/>
        <v>1660392.08</v>
      </c>
    </row>
    <row r="10" spans="2:8" ht="21">
      <c r="B10" s="28"/>
      <c r="C10" s="41" t="s">
        <v>220</v>
      </c>
      <c r="D10" s="28" t="s">
        <v>565</v>
      </c>
      <c r="E10" s="31">
        <v>110000</v>
      </c>
      <c r="F10" s="31">
        <v>91314.03</v>
      </c>
      <c r="G10" s="31">
        <v>0</v>
      </c>
      <c r="H10" s="31">
        <f t="shared" si="0"/>
        <v>91314.03</v>
      </c>
    </row>
    <row r="11" spans="2:8" ht="21">
      <c r="B11" s="28" t="s">
        <v>222</v>
      </c>
      <c r="C11" s="41" t="s">
        <v>221</v>
      </c>
      <c r="D11" s="28" t="s">
        <v>565</v>
      </c>
      <c r="E11" s="31">
        <v>159700</v>
      </c>
      <c r="F11" s="31">
        <f>141260</f>
        <v>141260</v>
      </c>
      <c r="G11" s="31">
        <v>0</v>
      </c>
      <c r="H11" s="31">
        <f t="shared" si="0"/>
        <v>141260</v>
      </c>
    </row>
    <row r="12" spans="2:8" ht="21">
      <c r="B12" s="28"/>
      <c r="C12" s="41" t="s">
        <v>163</v>
      </c>
      <c r="D12" s="28" t="s">
        <v>565</v>
      </c>
      <c r="E12" s="31">
        <v>0</v>
      </c>
      <c r="F12" s="31">
        <v>0</v>
      </c>
      <c r="G12" s="31">
        <v>0</v>
      </c>
      <c r="H12" s="31">
        <f t="shared" si="0"/>
        <v>0</v>
      </c>
    </row>
    <row r="13" spans="2:8" ht="21">
      <c r="B13" s="28" t="s">
        <v>223</v>
      </c>
      <c r="C13" s="41" t="s">
        <v>56</v>
      </c>
      <c r="D13" s="28" t="s">
        <v>565</v>
      </c>
      <c r="E13" s="31">
        <v>1500000</v>
      </c>
      <c r="F13" s="31">
        <v>1431000</v>
      </c>
      <c r="G13" s="31">
        <v>0</v>
      </c>
      <c r="H13" s="32">
        <f t="shared" si="0"/>
        <v>1431000</v>
      </c>
    </row>
    <row r="14" spans="2:8" ht="21" thickBot="1">
      <c r="B14" s="433" t="s">
        <v>196</v>
      </c>
      <c r="C14" s="433"/>
      <c r="D14" s="433"/>
      <c r="E14" s="34">
        <f>SUM(E6:E13)</f>
        <v>7080950</v>
      </c>
      <c r="F14" s="34">
        <f>SUM(F6:F13)</f>
        <v>2403267.0300000003</v>
      </c>
      <c r="G14" s="34">
        <f>SUM(G6:G13)</f>
        <v>3956433.58</v>
      </c>
      <c r="H14" s="34">
        <f>SUM(H6:H13)</f>
        <v>6359700.61</v>
      </c>
    </row>
    <row r="15" ht="21" thickTop="1"/>
    <row r="16" ht="21">
      <c r="B16" s="23" t="s">
        <v>215</v>
      </c>
    </row>
  </sheetData>
  <sheetProtection/>
  <mergeCells count="4">
    <mergeCell ref="B14:D14"/>
    <mergeCell ref="B1:H1"/>
    <mergeCell ref="B2:H2"/>
    <mergeCell ref="B3:H3"/>
  </mergeCells>
  <printOptions/>
  <pageMargins left="0.31496062992125984" right="0.31496062992125984" top="0.7480314960629921" bottom="0.35433070866141736" header="0.31496062992125984" footer="0.31496062992125984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G12"/>
  <sheetViews>
    <sheetView zoomScalePageLayoutView="0" workbookViewId="0" topLeftCell="A2">
      <selection activeCell="E10" sqref="E10"/>
    </sheetView>
  </sheetViews>
  <sheetFormatPr defaultColWidth="9.00390625" defaultRowHeight="15"/>
  <cols>
    <col min="1" max="1" width="9.00390625" style="7" customWidth="1"/>
    <col min="2" max="2" width="17.421875" style="7" customWidth="1"/>
    <col min="3" max="3" width="22.421875" style="7" customWidth="1"/>
    <col min="4" max="4" width="16.57421875" style="7" customWidth="1"/>
    <col min="5" max="5" width="16.140625" style="7" customWidth="1"/>
    <col min="6" max="6" width="17.421875" style="7" customWidth="1"/>
    <col min="7" max="7" width="17.00390625" style="7" customWidth="1"/>
    <col min="8" max="16384" width="9.00390625" style="7" customWidth="1"/>
  </cols>
  <sheetData>
    <row r="1" spans="2:7" ht="21">
      <c r="B1" s="412" t="str">
        <f>+งบแสดงฐานะการเงิน!A1</f>
        <v>องค์การบริหารส่วนตำบลคอกควาย</v>
      </c>
      <c r="C1" s="412"/>
      <c r="D1" s="412"/>
      <c r="E1" s="412"/>
      <c r="F1" s="412"/>
      <c r="G1" s="412"/>
    </row>
    <row r="2" spans="2:7" ht="21">
      <c r="B2" s="412" t="s">
        <v>631</v>
      </c>
      <c r="C2" s="412"/>
      <c r="D2" s="412"/>
      <c r="E2" s="412"/>
      <c r="F2" s="412"/>
      <c r="G2" s="412"/>
    </row>
    <row r="3" spans="2:7" ht="21">
      <c r="B3" s="412" t="str">
        <f>+'ตามแผนงาน 1'!B3:G3</f>
        <v>ตั้งแต่วันที่  1  ตุลาคม  2560      ถึง 30   กันยายน  2561</v>
      </c>
      <c r="C3" s="412"/>
      <c r="D3" s="412"/>
      <c r="E3" s="412"/>
      <c r="F3" s="412"/>
      <c r="G3" s="412"/>
    </row>
    <row r="5" spans="1:7" s="25" customFormat="1" ht="63">
      <c r="A5" s="277"/>
      <c r="B5" s="267" t="s">
        <v>214</v>
      </c>
      <c r="C5" s="267" t="s">
        <v>200</v>
      </c>
      <c r="D5" s="267" t="s">
        <v>197</v>
      </c>
      <c r="E5" s="39" t="s">
        <v>59</v>
      </c>
      <c r="F5" s="43" t="s">
        <v>229</v>
      </c>
      <c r="G5" s="267" t="s">
        <v>196</v>
      </c>
    </row>
    <row r="6" spans="2:7" ht="21">
      <c r="B6" s="28" t="s">
        <v>632</v>
      </c>
      <c r="C6" s="41" t="s">
        <v>150</v>
      </c>
      <c r="D6" s="28" t="s">
        <v>565</v>
      </c>
      <c r="E6" s="31">
        <v>60000</v>
      </c>
      <c r="F6" s="31">
        <v>0</v>
      </c>
      <c r="G6" s="31">
        <f>SUM(F6:F6)</f>
        <v>0</v>
      </c>
    </row>
    <row r="7" spans="2:7" ht="21">
      <c r="B7" s="28"/>
      <c r="C7" s="41" t="s">
        <v>151</v>
      </c>
      <c r="D7" s="28" t="s">
        <v>565</v>
      </c>
      <c r="E7" s="31">
        <v>200000</v>
      </c>
      <c r="F7" s="31">
        <v>99600</v>
      </c>
      <c r="G7" s="31">
        <f>SUM(F7:F7)</f>
        <v>99600</v>
      </c>
    </row>
    <row r="8" spans="2:7" ht="21">
      <c r="B8" s="28" t="s">
        <v>222</v>
      </c>
      <c r="C8" s="41" t="s">
        <v>221</v>
      </c>
      <c r="D8" s="28" t="s">
        <v>565</v>
      </c>
      <c r="E8" s="31">
        <v>10000</v>
      </c>
      <c r="F8" s="31">
        <v>0</v>
      </c>
      <c r="G8" s="31">
        <f>SUM(F8:F8)</f>
        <v>0</v>
      </c>
    </row>
    <row r="9" spans="2:7" ht="21">
      <c r="B9" s="28" t="s">
        <v>223</v>
      </c>
      <c r="C9" s="41" t="s">
        <v>56</v>
      </c>
      <c r="D9" s="28" t="s">
        <v>565</v>
      </c>
      <c r="E9" s="31">
        <v>300000</v>
      </c>
      <c r="F9" s="31">
        <v>280000</v>
      </c>
      <c r="G9" s="32">
        <f>SUM(F9:F9)</f>
        <v>280000</v>
      </c>
    </row>
    <row r="10" spans="2:7" ht="21" thickBot="1">
      <c r="B10" s="433" t="s">
        <v>196</v>
      </c>
      <c r="C10" s="433"/>
      <c r="D10" s="433"/>
      <c r="E10" s="34">
        <f>SUM(E6:E9)</f>
        <v>570000</v>
      </c>
      <c r="F10" s="34">
        <f>SUM(F6:F9)</f>
        <v>379600</v>
      </c>
      <c r="G10" s="34">
        <f>SUM(G6:G9)</f>
        <v>379600</v>
      </c>
    </row>
    <row r="11" ht="21" thickTop="1"/>
    <row r="12" ht="21">
      <c r="B12" s="23" t="s">
        <v>215</v>
      </c>
    </row>
  </sheetData>
  <sheetProtection/>
  <mergeCells count="4">
    <mergeCell ref="B1:G1"/>
    <mergeCell ref="B2:G2"/>
    <mergeCell ref="B3:G3"/>
    <mergeCell ref="B10:D10"/>
  </mergeCells>
  <printOptions/>
  <pageMargins left="0.31496062992125984" right="0.31496062992125984" top="0.7480314960629921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1"/>
  <sheetViews>
    <sheetView view="pageBreakPreview" zoomScaleSheetLayoutView="100" zoomScalePageLayoutView="0" workbookViewId="0" topLeftCell="A31">
      <selection activeCell="A18" sqref="A18:F18"/>
    </sheetView>
  </sheetViews>
  <sheetFormatPr defaultColWidth="9.00390625" defaultRowHeight="15"/>
  <cols>
    <col min="1" max="2" width="4.57421875" style="3" customWidth="1"/>
    <col min="3" max="3" width="5.421875" style="3" customWidth="1"/>
    <col min="4" max="4" width="44.57421875" style="3" customWidth="1"/>
    <col min="5" max="5" width="12.8515625" style="13" customWidth="1"/>
    <col min="6" max="6" width="18.140625" style="5" customWidth="1"/>
    <col min="7" max="16384" width="9.00390625" style="3" customWidth="1"/>
  </cols>
  <sheetData>
    <row r="1" spans="1:6" ht="21">
      <c r="A1" s="396" t="s">
        <v>376</v>
      </c>
      <c r="B1" s="396"/>
      <c r="C1" s="396"/>
      <c r="D1" s="396"/>
      <c r="E1" s="396"/>
      <c r="F1" s="396"/>
    </row>
    <row r="2" spans="1:6" ht="21">
      <c r="A2" s="396" t="s">
        <v>390</v>
      </c>
      <c r="B2" s="396"/>
      <c r="C2" s="396"/>
      <c r="D2" s="396"/>
      <c r="E2" s="396"/>
      <c r="F2" s="396"/>
    </row>
    <row r="3" spans="1:6" ht="21">
      <c r="A3" s="396" t="s">
        <v>460</v>
      </c>
      <c r="B3" s="396"/>
      <c r="C3" s="396"/>
      <c r="D3" s="396"/>
      <c r="E3" s="396"/>
      <c r="F3" s="396"/>
    </row>
    <row r="4" spans="1:6" ht="21">
      <c r="A4" s="399"/>
      <c r="B4" s="399"/>
      <c r="C4" s="399"/>
      <c r="D4" s="399"/>
      <c r="E4" s="399"/>
      <c r="F4" s="399"/>
    </row>
    <row r="5" spans="1:6" ht="23.25">
      <c r="A5" s="398" t="s">
        <v>391</v>
      </c>
      <c r="B5" s="398"/>
      <c r="C5" s="398"/>
      <c r="D5" s="122"/>
      <c r="E5" s="122"/>
      <c r="F5" s="9"/>
    </row>
    <row r="6" spans="1:6" ht="21">
      <c r="A6" s="122"/>
      <c r="B6" s="122"/>
      <c r="C6" s="122"/>
      <c r="D6" s="122"/>
      <c r="F6" s="3"/>
    </row>
    <row r="7" spans="1:7" ht="21">
      <c r="A7" s="403" t="s">
        <v>400</v>
      </c>
      <c r="B7" s="403"/>
      <c r="C7" s="403"/>
      <c r="D7" s="403"/>
      <c r="E7" s="403"/>
      <c r="F7" s="403"/>
      <c r="G7" s="3" t="s">
        <v>392</v>
      </c>
    </row>
    <row r="8" spans="1:6" ht="21">
      <c r="A8" s="403" t="s">
        <v>401</v>
      </c>
      <c r="B8" s="403"/>
      <c r="C8" s="403"/>
      <c r="D8" s="403"/>
      <c r="E8" s="403"/>
      <c r="F8" s="403"/>
    </row>
    <row r="9" spans="1:6" ht="21">
      <c r="A9" s="403" t="s">
        <v>402</v>
      </c>
      <c r="B9" s="403"/>
      <c r="C9" s="403"/>
      <c r="D9" s="403"/>
      <c r="E9" s="403"/>
      <c r="F9" s="403"/>
    </row>
    <row r="10" spans="1:6" ht="21">
      <c r="A10" s="403" t="s">
        <v>410</v>
      </c>
      <c r="B10" s="403"/>
      <c r="C10" s="403"/>
      <c r="D10" s="403"/>
      <c r="E10" s="403"/>
      <c r="F10" s="403"/>
    </row>
    <row r="11" spans="1:6" ht="21">
      <c r="A11" s="403" t="s">
        <v>445</v>
      </c>
      <c r="B11" s="403"/>
      <c r="C11" s="403"/>
      <c r="D11" s="403"/>
      <c r="E11" s="403"/>
      <c r="F11" s="403"/>
    </row>
    <row r="12" spans="1:6" ht="21">
      <c r="A12" s="403" t="s">
        <v>446</v>
      </c>
      <c r="B12" s="403"/>
      <c r="C12" s="403"/>
      <c r="D12" s="403"/>
      <c r="E12" s="403"/>
      <c r="F12" s="403"/>
    </row>
    <row r="13" spans="1:6" ht="21">
      <c r="A13" s="403"/>
      <c r="B13" s="403"/>
      <c r="C13" s="403"/>
      <c r="D13" s="403"/>
      <c r="E13" s="403"/>
      <c r="F13" s="403"/>
    </row>
    <row r="14" spans="1:6" ht="21">
      <c r="A14" s="400" t="s">
        <v>393</v>
      </c>
      <c r="B14" s="400"/>
      <c r="C14" s="400"/>
      <c r="D14" s="400"/>
      <c r="E14" s="400"/>
      <c r="F14" s="400"/>
    </row>
    <row r="15" spans="1:6" ht="21">
      <c r="A15" s="400" t="s">
        <v>394</v>
      </c>
      <c r="B15" s="400"/>
      <c r="C15" s="400"/>
      <c r="D15" s="400"/>
      <c r="E15" s="400"/>
      <c r="F15" s="400"/>
    </row>
    <row r="16" spans="1:11" ht="21">
      <c r="A16" s="400" t="s">
        <v>397</v>
      </c>
      <c r="B16" s="400"/>
      <c r="C16" s="400"/>
      <c r="D16" s="400"/>
      <c r="E16" s="400"/>
      <c r="F16" s="400"/>
      <c r="K16" s="15"/>
    </row>
    <row r="17" spans="1:6" ht="21">
      <c r="A17" s="400" t="s">
        <v>396</v>
      </c>
      <c r="B17" s="400"/>
      <c r="C17" s="400"/>
      <c r="D17" s="400"/>
      <c r="E17" s="400"/>
      <c r="F17" s="400"/>
    </row>
    <row r="18" spans="1:6" ht="21">
      <c r="A18" s="400" t="s">
        <v>395</v>
      </c>
      <c r="B18" s="400"/>
      <c r="C18" s="400"/>
      <c r="D18" s="400"/>
      <c r="E18" s="400"/>
      <c r="F18" s="400"/>
    </row>
    <row r="19" spans="1:6" ht="21">
      <c r="A19" s="400" t="s">
        <v>398</v>
      </c>
      <c r="B19" s="400"/>
      <c r="C19" s="400"/>
      <c r="D19" s="400"/>
      <c r="E19" s="400"/>
      <c r="F19" s="400"/>
    </row>
    <row r="20" spans="1:6" ht="21">
      <c r="A20" s="400" t="s">
        <v>399</v>
      </c>
      <c r="B20" s="400"/>
      <c r="C20" s="400"/>
      <c r="D20" s="400"/>
      <c r="E20" s="400"/>
      <c r="F20" s="400"/>
    </row>
    <row r="21" spans="1:6" ht="21">
      <c r="A21" s="400" t="s">
        <v>403</v>
      </c>
      <c r="B21" s="400"/>
      <c r="C21" s="400"/>
      <c r="D21" s="400"/>
      <c r="E21" s="400"/>
      <c r="F21" s="400"/>
    </row>
    <row r="22" spans="1:6" ht="21">
      <c r="A22" s="397" t="s">
        <v>466</v>
      </c>
      <c r="B22" s="397"/>
      <c r="C22" s="397"/>
      <c r="D22" s="397"/>
      <c r="E22" s="397"/>
      <c r="F22" s="397"/>
    </row>
    <row r="23" spans="1:6" ht="21">
      <c r="A23" s="397" t="s">
        <v>467</v>
      </c>
      <c r="B23" s="397"/>
      <c r="C23" s="397"/>
      <c r="D23" s="397"/>
      <c r="E23" s="397"/>
      <c r="F23" s="397"/>
    </row>
    <row r="24" spans="1:6" ht="21">
      <c r="A24" s="397" t="s">
        <v>469</v>
      </c>
      <c r="B24" s="397"/>
      <c r="C24" s="397"/>
      <c r="D24" s="397"/>
      <c r="E24" s="397"/>
      <c r="F24" s="397"/>
    </row>
    <row r="25" spans="1:6" ht="21">
      <c r="A25" s="397" t="s">
        <v>468</v>
      </c>
      <c r="B25" s="397"/>
      <c r="C25" s="397"/>
      <c r="D25" s="397"/>
      <c r="E25" s="397"/>
      <c r="F25" s="397"/>
    </row>
    <row r="26" spans="1:6" ht="21">
      <c r="A26" s="397" t="s">
        <v>470</v>
      </c>
      <c r="B26" s="397"/>
      <c r="C26" s="397"/>
      <c r="D26" s="397"/>
      <c r="E26" s="397"/>
      <c r="F26" s="397"/>
    </row>
    <row r="27" spans="1:6" ht="21">
      <c r="A27" s="397" t="s">
        <v>461</v>
      </c>
      <c r="B27" s="397"/>
      <c r="C27" s="397"/>
      <c r="D27" s="397"/>
      <c r="E27" s="397"/>
      <c r="F27" s="397"/>
    </row>
    <row r="28" spans="1:6" ht="21">
      <c r="A28" s="397" t="s">
        <v>463</v>
      </c>
      <c r="B28" s="397"/>
      <c r="C28" s="397"/>
      <c r="D28" s="397"/>
      <c r="E28" s="397"/>
      <c r="F28" s="397"/>
    </row>
    <row r="29" spans="1:6" ht="21">
      <c r="A29" s="397" t="s">
        <v>462</v>
      </c>
      <c r="B29" s="397"/>
      <c r="C29" s="397"/>
      <c r="D29" s="397"/>
      <c r="E29" s="397"/>
      <c r="F29" s="397"/>
    </row>
    <row r="30" spans="1:6" ht="21">
      <c r="A30" s="397" t="s">
        <v>465</v>
      </c>
      <c r="B30" s="397"/>
      <c r="C30" s="397"/>
      <c r="D30" s="397"/>
      <c r="E30" s="397"/>
      <c r="F30" s="397"/>
    </row>
    <row r="31" spans="1:6" ht="21">
      <c r="A31" s="397" t="s">
        <v>464</v>
      </c>
      <c r="B31" s="397"/>
      <c r="C31" s="397"/>
      <c r="D31" s="397"/>
      <c r="E31" s="397"/>
      <c r="F31" s="397"/>
    </row>
    <row r="32" spans="1:6" ht="26.25" customHeight="1">
      <c r="A32" s="400"/>
      <c r="B32" s="400"/>
      <c r="C32" s="400"/>
      <c r="D32" s="400"/>
      <c r="E32" s="400"/>
      <c r="F32" s="400"/>
    </row>
    <row r="33" spans="1:6" ht="21">
      <c r="A33" s="402"/>
      <c r="B33" s="402"/>
      <c r="C33" s="402"/>
      <c r="D33" s="402"/>
      <c r="E33" s="402"/>
      <c r="F33" s="402"/>
    </row>
    <row r="34" spans="1:6" ht="21">
      <c r="A34" s="399"/>
      <c r="B34" s="399"/>
      <c r="C34" s="399"/>
      <c r="D34" s="399"/>
      <c r="E34" s="399"/>
      <c r="F34" s="399"/>
    </row>
    <row r="35" ht="21">
      <c r="C35" s="4"/>
    </row>
    <row r="36" spans="1:6" ht="21">
      <c r="A36" s="401" t="s">
        <v>404</v>
      </c>
      <c r="B36" s="401"/>
      <c r="C36" s="401"/>
      <c r="D36" s="401"/>
      <c r="E36" s="401"/>
      <c r="F36" s="401"/>
    </row>
    <row r="37" spans="1:6" ht="21">
      <c r="A37" s="400" t="s">
        <v>405</v>
      </c>
      <c r="B37" s="400"/>
      <c r="C37" s="400"/>
      <c r="D37" s="400"/>
      <c r="E37" s="400"/>
      <c r="F37" s="400"/>
    </row>
    <row r="38" spans="1:6" ht="21">
      <c r="A38" s="400" t="s">
        <v>406</v>
      </c>
      <c r="B38" s="400"/>
      <c r="C38" s="400"/>
      <c r="D38" s="400"/>
      <c r="E38" s="400"/>
      <c r="F38" s="400"/>
    </row>
    <row r="39" spans="1:6" ht="21">
      <c r="A39" s="400" t="s">
        <v>407</v>
      </c>
      <c r="B39" s="400"/>
      <c r="C39" s="400"/>
      <c r="D39" s="400"/>
      <c r="E39" s="400"/>
      <c r="F39" s="400"/>
    </row>
    <row r="40" spans="1:6" ht="21">
      <c r="A40" s="400" t="s">
        <v>408</v>
      </c>
      <c r="B40" s="400"/>
      <c r="C40" s="400"/>
      <c r="D40" s="400"/>
      <c r="E40" s="400"/>
      <c r="F40" s="400"/>
    </row>
    <row r="41" spans="1:6" ht="21">
      <c r="A41" s="400" t="s">
        <v>409</v>
      </c>
      <c r="B41" s="400"/>
      <c r="C41" s="400"/>
      <c r="D41" s="400"/>
      <c r="E41" s="400"/>
      <c r="F41" s="400"/>
    </row>
    <row r="42" spans="1:6" ht="21">
      <c r="A42" s="124"/>
      <c r="B42" s="124"/>
      <c r="C42" s="124"/>
      <c r="D42" s="124"/>
      <c r="E42" s="125"/>
      <c r="F42" s="124"/>
    </row>
    <row r="43" spans="1:6" ht="21">
      <c r="A43" s="108"/>
      <c r="B43" s="123"/>
      <c r="C43" s="124"/>
      <c r="D43" s="124"/>
      <c r="E43" s="125"/>
      <c r="F43" s="126"/>
    </row>
    <row r="44" spans="1:3" ht="21">
      <c r="A44" s="4"/>
      <c r="B44" s="4"/>
      <c r="C44" s="2"/>
    </row>
    <row r="45" spans="1:3" ht="21">
      <c r="A45" s="4"/>
      <c r="B45" s="10"/>
      <c r="C45" s="2"/>
    </row>
    <row r="46" spans="1:3" ht="21">
      <c r="A46" s="4"/>
      <c r="B46" s="10"/>
      <c r="C46" s="4"/>
    </row>
    <row r="47" spans="1:3" ht="21">
      <c r="A47" s="4"/>
      <c r="B47" s="10"/>
      <c r="C47" s="4"/>
    </row>
    <row r="48" spans="1:3" ht="21">
      <c r="A48" s="4"/>
      <c r="B48" s="10"/>
      <c r="C48" s="4"/>
    </row>
    <row r="49" spans="1:3" ht="21">
      <c r="A49" s="4"/>
      <c r="B49" s="10"/>
      <c r="C49" s="4"/>
    </row>
    <row r="50" ht="21">
      <c r="C50" s="2"/>
    </row>
    <row r="51" ht="21">
      <c r="C51" s="10"/>
    </row>
    <row r="53" ht="21">
      <c r="B53" s="10"/>
    </row>
    <row r="54" ht="21">
      <c r="C54" s="4"/>
    </row>
    <row r="56" ht="21">
      <c r="C56" s="10"/>
    </row>
    <row r="57" ht="21">
      <c r="B57" s="8"/>
    </row>
    <row r="58" ht="21">
      <c r="B58" s="8"/>
    </row>
    <row r="60" spans="3:6" ht="21">
      <c r="C60" s="4"/>
      <c r="F60" s="119"/>
    </row>
    <row r="61" spans="3:6" ht="21">
      <c r="C61" s="4"/>
      <c r="F61" s="119"/>
    </row>
    <row r="62" spans="3:6" ht="21">
      <c r="C62" s="18"/>
      <c r="F62" s="119"/>
    </row>
    <row r="63" spans="1:6" ht="21">
      <c r="A63" s="18"/>
      <c r="C63" s="4"/>
      <c r="E63" s="16"/>
      <c r="F63" s="119"/>
    </row>
    <row r="64" ht="21">
      <c r="F64" s="119"/>
    </row>
    <row r="66" ht="21">
      <c r="D66" s="120"/>
    </row>
    <row r="75" spans="1:6" ht="21">
      <c r="A75" s="396"/>
      <c r="B75" s="396"/>
      <c r="C75" s="396"/>
      <c r="D75" s="396"/>
      <c r="E75" s="396"/>
      <c r="F75" s="396"/>
    </row>
    <row r="76" spans="1:6" ht="21">
      <c r="A76" s="396"/>
      <c r="B76" s="396"/>
      <c r="C76" s="396"/>
      <c r="D76" s="396"/>
      <c r="E76" s="396"/>
      <c r="F76" s="396"/>
    </row>
    <row r="77" spans="1:6" ht="21">
      <c r="A77" s="396" t="s">
        <v>29</v>
      </c>
      <c r="B77" s="396"/>
      <c r="C77" s="396"/>
      <c r="D77" s="396"/>
      <c r="E77" s="396"/>
      <c r="F77" s="396"/>
    </row>
    <row r="78" spans="1:6" ht="21">
      <c r="A78" s="121"/>
      <c r="B78" s="121"/>
      <c r="C78" s="121"/>
      <c r="D78" s="121"/>
      <c r="E78" s="121"/>
      <c r="F78" s="121"/>
    </row>
    <row r="79" spans="1:6" ht="21">
      <c r="A79" s="399" t="s">
        <v>1</v>
      </c>
      <c r="B79" s="399"/>
      <c r="C79" s="399"/>
      <c r="D79" s="399"/>
      <c r="E79" s="399"/>
      <c r="F79" s="399"/>
    </row>
    <row r="80" spans="1:6" ht="21">
      <c r="A80" s="122"/>
      <c r="B80" s="122"/>
      <c r="C80" s="122"/>
      <c r="D80" s="122"/>
      <c r="E80" s="122"/>
      <c r="F80" s="9" t="s">
        <v>60</v>
      </c>
    </row>
    <row r="81" spans="1:6" ht="21">
      <c r="A81" s="122"/>
      <c r="B81" s="122"/>
      <c r="C81" s="122"/>
      <c r="D81" s="122"/>
      <c r="E81" s="13" t="s">
        <v>181</v>
      </c>
      <c r="F81" s="3"/>
    </row>
    <row r="82" spans="1:6" ht="21">
      <c r="A82" s="122"/>
      <c r="B82" s="122"/>
      <c r="C82" s="122"/>
      <c r="D82" s="122"/>
      <c r="F82" s="122"/>
    </row>
    <row r="83" spans="1:6" ht="21" thickBot="1">
      <c r="A83" s="2" t="s">
        <v>2</v>
      </c>
      <c r="B83" s="2"/>
      <c r="E83" s="13">
        <v>2</v>
      </c>
      <c r="F83" s="14">
        <v>30428604.95</v>
      </c>
    </row>
    <row r="84" spans="1:2" ht="21" thickTop="1">
      <c r="A84" s="2" t="s">
        <v>1</v>
      </c>
      <c r="B84" s="2"/>
    </row>
    <row r="85" spans="1:2" ht="21">
      <c r="A85" s="2"/>
      <c r="B85" s="10" t="s">
        <v>182</v>
      </c>
    </row>
    <row r="86" spans="3:6" ht="21">
      <c r="C86" s="4" t="s">
        <v>3</v>
      </c>
      <c r="E86" s="13">
        <v>3</v>
      </c>
      <c r="F86" s="5">
        <v>40808647.41</v>
      </c>
    </row>
    <row r="87" ht="21">
      <c r="C87" s="4" t="s">
        <v>4</v>
      </c>
    </row>
    <row r="88" ht="21">
      <c r="C88" s="4" t="s">
        <v>5</v>
      </c>
    </row>
    <row r="89" ht="21">
      <c r="C89" s="4" t="s">
        <v>8</v>
      </c>
    </row>
    <row r="90" spans="3:6" ht="21">
      <c r="C90" s="4" t="s">
        <v>381</v>
      </c>
      <c r="E90" s="13">
        <v>4</v>
      </c>
      <c r="F90" s="5">
        <v>68028.33</v>
      </c>
    </row>
    <row r="91" spans="3:6" ht="21">
      <c r="C91" s="4" t="s">
        <v>6</v>
      </c>
      <c r="E91" s="13">
        <v>5</v>
      </c>
      <c r="F91" s="5">
        <v>0</v>
      </c>
    </row>
    <row r="92" spans="3:6" ht="21">
      <c r="C92" s="4" t="s">
        <v>183</v>
      </c>
      <c r="D92" s="4"/>
      <c r="E92" s="16">
        <v>6</v>
      </c>
      <c r="F92" s="5">
        <v>80312</v>
      </c>
    </row>
    <row r="93" spans="3:6" ht="21">
      <c r="C93" s="4" t="s">
        <v>10</v>
      </c>
      <c r="D93" s="4"/>
      <c r="E93" s="16"/>
      <c r="F93" s="5">
        <v>735000</v>
      </c>
    </row>
    <row r="94" spans="3:6" ht="21">
      <c r="C94" s="4" t="s">
        <v>11</v>
      </c>
      <c r="D94" s="4"/>
      <c r="E94" s="16">
        <v>7</v>
      </c>
      <c r="F94" s="5">
        <v>0</v>
      </c>
    </row>
    <row r="95" spans="3:6" ht="21">
      <c r="C95" s="4" t="s">
        <v>9</v>
      </c>
      <c r="F95" s="5">
        <v>34335</v>
      </c>
    </row>
    <row r="96" spans="3:6" ht="21">
      <c r="C96" s="4" t="s">
        <v>184</v>
      </c>
      <c r="E96" s="16">
        <v>8</v>
      </c>
      <c r="F96" s="5">
        <v>0</v>
      </c>
    </row>
    <row r="97" spans="3:6" ht="21">
      <c r="C97" s="10" t="s">
        <v>185</v>
      </c>
      <c r="E97" s="16"/>
      <c r="F97" s="17">
        <f>SUM(F86:F96)</f>
        <v>41726322.739999995</v>
      </c>
    </row>
    <row r="98" spans="3:5" ht="21">
      <c r="C98" s="4"/>
      <c r="E98" s="16"/>
    </row>
    <row r="99" spans="2:5" ht="21">
      <c r="B99" s="10" t="s">
        <v>186</v>
      </c>
      <c r="C99" s="4"/>
      <c r="E99" s="16"/>
    </row>
    <row r="100" ht="21">
      <c r="C100" s="4" t="s">
        <v>12</v>
      </c>
    </row>
    <row r="101" spans="3:6" ht="21">
      <c r="C101" s="4" t="s">
        <v>13</v>
      </c>
      <c r="E101" s="13">
        <v>2</v>
      </c>
      <c r="F101" s="5">
        <v>0</v>
      </c>
    </row>
    <row r="102" spans="3:6" ht="21">
      <c r="C102" s="2" t="s">
        <v>187</v>
      </c>
      <c r="E102" s="13">
        <v>9</v>
      </c>
      <c r="F102" s="5">
        <v>0</v>
      </c>
    </row>
    <row r="103" spans="3:6" ht="21">
      <c r="C103" s="10" t="s">
        <v>188</v>
      </c>
      <c r="F103" s="17">
        <f>SUM(F100:F102)</f>
        <v>0</v>
      </c>
    </row>
    <row r="104" spans="1:6" ht="21" thickBot="1">
      <c r="A104" s="18" t="s">
        <v>14</v>
      </c>
      <c r="E104" s="16"/>
      <c r="F104" s="19">
        <f>+F97+F103</f>
        <v>41726322.739999995</v>
      </c>
    </row>
    <row r="105" ht="21" thickTop="1">
      <c r="C105" s="4"/>
    </row>
    <row r="106" ht="21">
      <c r="C106" s="4"/>
    </row>
    <row r="107" ht="21">
      <c r="C107" s="4"/>
    </row>
    <row r="108" ht="21">
      <c r="C108" s="4"/>
    </row>
    <row r="109" ht="21">
      <c r="C109" s="4"/>
    </row>
    <row r="110" ht="21">
      <c r="C110" s="4"/>
    </row>
    <row r="111" spans="1:6" ht="21">
      <c r="A111" s="396">
        <f>A75</f>
        <v>0</v>
      </c>
      <c r="B111" s="396"/>
      <c r="C111" s="396"/>
      <c r="D111" s="396"/>
      <c r="E111" s="396"/>
      <c r="F111" s="396"/>
    </row>
    <row r="112" spans="1:6" ht="21">
      <c r="A112" s="396" t="s">
        <v>0</v>
      </c>
      <c r="B112" s="396"/>
      <c r="C112" s="396"/>
      <c r="D112" s="396"/>
      <c r="E112" s="396"/>
      <c r="F112" s="396"/>
    </row>
    <row r="113" spans="1:6" ht="21">
      <c r="A113" s="396" t="s">
        <v>29</v>
      </c>
      <c r="B113" s="396"/>
      <c r="C113" s="396"/>
      <c r="D113" s="396"/>
      <c r="E113" s="396"/>
      <c r="F113" s="396"/>
    </row>
    <row r="114" spans="1:6" ht="21">
      <c r="A114" s="399" t="s">
        <v>30</v>
      </c>
      <c r="B114" s="399"/>
      <c r="C114" s="399"/>
      <c r="D114" s="399"/>
      <c r="E114" s="399"/>
      <c r="F114" s="399"/>
    </row>
    <row r="115" spans="1:6" ht="21">
      <c r="A115" s="122"/>
      <c r="B115" s="122"/>
      <c r="C115" s="122"/>
      <c r="D115" s="122"/>
      <c r="E115" s="122"/>
      <c r="F115" s="9" t="s">
        <v>60</v>
      </c>
    </row>
    <row r="116" spans="1:6" ht="21">
      <c r="A116" s="122"/>
      <c r="B116" s="122"/>
      <c r="C116" s="122"/>
      <c r="D116" s="122"/>
      <c r="E116" s="13" t="s">
        <v>181</v>
      </c>
      <c r="F116" s="3"/>
    </row>
    <row r="117" spans="1:6" ht="21">
      <c r="A117" s="122"/>
      <c r="B117" s="122"/>
      <c r="C117" s="122"/>
      <c r="D117" s="122"/>
      <c r="F117" s="122"/>
    </row>
    <row r="118" spans="1:6" ht="21" thickBot="1">
      <c r="A118" s="10" t="s">
        <v>16</v>
      </c>
      <c r="B118" s="2"/>
      <c r="E118" s="13">
        <v>2</v>
      </c>
      <c r="F118" s="14">
        <v>30428604.95</v>
      </c>
    </row>
    <row r="119" spans="1:3" ht="21" thickTop="1">
      <c r="A119" s="4" t="s">
        <v>15</v>
      </c>
      <c r="B119" s="4"/>
      <c r="C119" s="2"/>
    </row>
    <row r="120" spans="1:3" ht="21">
      <c r="A120" s="4"/>
      <c r="B120" s="10" t="s">
        <v>189</v>
      </c>
      <c r="C120" s="2"/>
    </row>
    <row r="121" spans="1:6" ht="21">
      <c r="A121" s="4"/>
      <c r="B121" s="10"/>
      <c r="C121" s="4" t="s">
        <v>18</v>
      </c>
      <c r="E121" s="13">
        <v>10</v>
      </c>
      <c r="F121" s="5">
        <v>2632800</v>
      </c>
    </row>
    <row r="122" spans="1:6" ht="21">
      <c r="A122" s="4"/>
      <c r="B122" s="10"/>
      <c r="C122" s="4" t="s">
        <v>19</v>
      </c>
      <c r="E122" s="13">
        <v>11</v>
      </c>
      <c r="F122" s="5">
        <v>550000</v>
      </c>
    </row>
    <row r="123" spans="1:3" ht="21">
      <c r="A123" s="4"/>
      <c r="B123" s="10"/>
      <c r="C123" s="4" t="s">
        <v>20</v>
      </c>
    </row>
    <row r="124" spans="1:6" ht="21">
      <c r="A124" s="4"/>
      <c r="B124" s="10"/>
      <c r="C124" s="4" t="s">
        <v>17</v>
      </c>
      <c r="E124" s="13">
        <v>12</v>
      </c>
      <c r="F124" s="5">
        <v>2438420.14</v>
      </c>
    </row>
    <row r="125" spans="3:5" ht="21">
      <c r="C125" s="2" t="s">
        <v>22</v>
      </c>
      <c r="E125" s="13">
        <v>13</v>
      </c>
    </row>
    <row r="126" spans="3:6" ht="21">
      <c r="C126" s="10" t="s">
        <v>190</v>
      </c>
      <c r="F126" s="17">
        <f>SUM(F121:F125)</f>
        <v>5621220.140000001</v>
      </c>
    </row>
    <row r="128" ht="21">
      <c r="B128" s="10" t="s">
        <v>191</v>
      </c>
    </row>
    <row r="129" spans="3:6" ht="21">
      <c r="C129" s="4" t="s">
        <v>21</v>
      </c>
      <c r="E129" s="13">
        <v>14</v>
      </c>
      <c r="F129" s="5">
        <v>0</v>
      </c>
    </row>
    <row r="130" spans="3:6" ht="21">
      <c r="C130" s="3" t="s">
        <v>23</v>
      </c>
      <c r="E130" s="13">
        <v>15</v>
      </c>
      <c r="F130" s="5">
        <v>0</v>
      </c>
    </row>
    <row r="131" spans="3:6" ht="21">
      <c r="C131" s="3" t="s">
        <v>386</v>
      </c>
      <c r="F131" s="5">
        <v>34335</v>
      </c>
    </row>
    <row r="132" spans="3:6" ht="21">
      <c r="C132" s="10" t="s">
        <v>192</v>
      </c>
      <c r="F132" s="17">
        <f>SUM(F129:F131)</f>
        <v>34335</v>
      </c>
    </row>
    <row r="133" ht="21">
      <c r="B133" s="8" t="s">
        <v>24</v>
      </c>
    </row>
    <row r="134" ht="21">
      <c r="B134" s="8"/>
    </row>
    <row r="135" ht="21">
      <c r="A135" s="3" t="s">
        <v>25</v>
      </c>
    </row>
    <row r="136" spans="3:6" ht="21">
      <c r="C136" s="4" t="s">
        <v>25</v>
      </c>
      <c r="E136" s="13">
        <v>16</v>
      </c>
      <c r="F136" s="115">
        <v>21833044.48</v>
      </c>
    </row>
    <row r="137" spans="3:6" ht="21">
      <c r="C137" s="4" t="s">
        <v>26</v>
      </c>
      <c r="E137" s="13">
        <v>17</v>
      </c>
      <c r="F137" s="115">
        <v>14237723.12</v>
      </c>
    </row>
    <row r="138" spans="3:6" ht="21">
      <c r="C138" s="18" t="s">
        <v>27</v>
      </c>
      <c r="F138" s="17">
        <f>SUM(F136:F137)</f>
        <v>36070767.6</v>
      </c>
    </row>
    <row r="139" spans="1:6" ht="21" thickBot="1">
      <c r="A139" s="18" t="s">
        <v>28</v>
      </c>
      <c r="C139" s="4"/>
      <c r="E139" s="16"/>
      <c r="F139" s="19">
        <f>+F126+F132+F138</f>
        <v>41726322.74</v>
      </c>
    </row>
    <row r="140" ht="21" thickTop="1">
      <c r="F140" s="5">
        <f>+F104-F139</f>
        <v>0</v>
      </c>
    </row>
    <row r="141" ht="21">
      <c r="F141" s="5">
        <f>+F83-F118</f>
        <v>0</v>
      </c>
    </row>
  </sheetData>
  <sheetProtection/>
  <mergeCells count="47">
    <mergeCell ref="A113:F113"/>
    <mergeCell ref="A114:F114"/>
    <mergeCell ref="A38:F38"/>
    <mergeCell ref="A39:F39"/>
    <mergeCell ref="A75:F75"/>
    <mergeCell ref="A76:F76"/>
    <mergeCell ref="A111:F111"/>
    <mergeCell ref="A112:F112"/>
    <mergeCell ref="A79:F79"/>
    <mergeCell ref="A40:F40"/>
    <mergeCell ref="A16:F16"/>
    <mergeCell ref="A27:F27"/>
    <mergeCell ref="A29:F29"/>
    <mergeCell ref="A30:F30"/>
    <mergeCell ref="A31:F31"/>
    <mergeCell ref="A34:F34"/>
    <mergeCell ref="A28:F28"/>
    <mergeCell ref="A17:F17"/>
    <mergeCell ref="A18:F18"/>
    <mergeCell ref="A19:F19"/>
    <mergeCell ref="A8:F8"/>
    <mergeCell ref="A9:F9"/>
    <mergeCell ref="A14:F14"/>
    <mergeCell ref="A15:F15"/>
    <mergeCell ref="A10:F10"/>
    <mergeCell ref="A11:F11"/>
    <mergeCell ref="A12:F12"/>
    <mergeCell ref="A13:F13"/>
    <mergeCell ref="A77:F77"/>
    <mergeCell ref="A37:F37"/>
    <mergeCell ref="A24:F24"/>
    <mergeCell ref="A26:F26"/>
    <mergeCell ref="A1:F1"/>
    <mergeCell ref="A2:F2"/>
    <mergeCell ref="A3:F3"/>
    <mergeCell ref="A4:F4"/>
    <mergeCell ref="A5:C5"/>
    <mergeCell ref="A7:F7"/>
    <mergeCell ref="A20:F20"/>
    <mergeCell ref="A36:F36"/>
    <mergeCell ref="A25:F25"/>
    <mergeCell ref="A41:F41"/>
    <mergeCell ref="A32:F32"/>
    <mergeCell ref="A33:F33"/>
    <mergeCell ref="A21:F21"/>
    <mergeCell ref="A22:F22"/>
    <mergeCell ref="A23:F23"/>
  </mergeCells>
  <printOptions/>
  <pageMargins left="0.8267716535433072" right="0.5118110236220472" top="0.7480314960629921" bottom="0.7480314960629921" header="0.31496062992125984" footer="0.31496062992125984"/>
  <pageSetup horizontalDpi="300" verticalDpi="300" orientation="portrait" paperSize="9" scale="82" r:id="rId1"/>
  <rowBreaks count="1" manualBreakCount="1">
    <brk id="34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G12"/>
  <sheetViews>
    <sheetView zoomScalePageLayoutView="0" workbookViewId="0" topLeftCell="A1">
      <selection activeCell="J10" sqref="J10"/>
    </sheetView>
  </sheetViews>
  <sheetFormatPr defaultColWidth="9.00390625" defaultRowHeight="15"/>
  <cols>
    <col min="1" max="1" width="9.00390625" style="7" customWidth="1"/>
    <col min="2" max="2" width="15.7109375" style="7" customWidth="1"/>
    <col min="3" max="3" width="20.140625" style="7" customWidth="1"/>
    <col min="4" max="4" width="16.8515625" style="7" customWidth="1"/>
    <col min="5" max="5" width="17.8515625" style="7" customWidth="1"/>
    <col min="6" max="6" width="27.00390625" style="7" customWidth="1"/>
    <col min="7" max="7" width="16.8515625" style="7" customWidth="1"/>
    <col min="8" max="16384" width="9.00390625" style="7" customWidth="1"/>
  </cols>
  <sheetData>
    <row r="1" spans="2:7" ht="21">
      <c r="B1" s="412" t="str">
        <f>+งบแสดงฐานะการเงิน!A1</f>
        <v>องค์การบริหารส่วนตำบลคอกควาย</v>
      </c>
      <c r="C1" s="412"/>
      <c r="D1" s="412"/>
      <c r="E1" s="412"/>
      <c r="F1" s="412"/>
      <c r="G1" s="412"/>
    </row>
    <row r="2" spans="2:7" ht="21">
      <c r="B2" s="412" t="s">
        <v>633</v>
      </c>
      <c r="C2" s="412"/>
      <c r="D2" s="412"/>
      <c r="E2" s="412"/>
      <c r="F2" s="412"/>
      <c r="G2" s="412"/>
    </row>
    <row r="3" spans="2:7" ht="21">
      <c r="B3" s="412" t="str">
        <f>+'ตามแผนงาน 1'!B3:G3</f>
        <v>ตั้งแต่วันที่  1  ตุลาคม  2560      ถึง 30   กันยายน  2561</v>
      </c>
      <c r="C3" s="412"/>
      <c r="D3" s="412"/>
      <c r="E3" s="412"/>
      <c r="F3" s="412"/>
      <c r="G3" s="412"/>
    </row>
    <row r="5" spans="1:7" s="25" customFormat="1" ht="42">
      <c r="A5" s="277"/>
      <c r="B5" s="38" t="s">
        <v>214</v>
      </c>
      <c r="C5" s="267" t="s">
        <v>200</v>
      </c>
      <c r="D5" s="267" t="s">
        <v>197</v>
      </c>
      <c r="E5" s="39" t="s">
        <v>59</v>
      </c>
      <c r="F5" s="43" t="s">
        <v>230</v>
      </c>
      <c r="G5" s="267" t="s">
        <v>196</v>
      </c>
    </row>
    <row r="6" spans="2:7" ht="21">
      <c r="B6" s="27" t="s">
        <v>216</v>
      </c>
      <c r="C6" s="28" t="s">
        <v>218</v>
      </c>
      <c r="D6" s="28" t="s">
        <v>565</v>
      </c>
      <c r="E6" s="31">
        <v>440000</v>
      </c>
      <c r="F6" s="31"/>
      <c r="G6" s="31">
        <f>SUM(F6:F6)</f>
        <v>0</v>
      </c>
    </row>
    <row r="7" spans="2:7" ht="21">
      <c r="B7" s="28" t="s">
        <v>219</v>
      </c>
      <c r="C7" s="41" t="s">
        <v>149</v>
      </c>
      <c r="D7" s="28" t="s">
        <v>565</v>
      </c>
      <c r="E7" s="31">
        <v>12000</v>
      </c>
      <c r="F7" s="31">
        <v>0</v>
      </c>
      <c r="G7" s="31">
        <f>SUM(F7:F7)</f>
        <v>0</v>
      </c>
    </row>
    <row r="8" spans="2:7" ht="21">
      <c r="B8" s="28"/>
      <c r="C8" s="41" t="s">
        <v>150</v>
      </c>
      <c r="D8" s="28" t="s">
        <v>565</v>
      </c>
      <c r="E8" s="31">
        <v>185000</v>
      </c>
      <c r="F8" s="31">
        <v>0</v>
      </c>
      <c r="G8" s="31">
        <f>SUM(F8:F8)</f>
        <v>0</v>
      </c>
    </row>
    <row r="9" spans="2:7" ht="21">
      <c r="B9" s="28"/>
      <c r="C9" s="41" t="s">
        <v>151</v>
      </c>
      <c r="D9" s="28" t="s">
        <v>565</v>
      </c>
      <c r="E9" s="31">
        <v>100000</v>
      </c>
      <c r="F9" s="31">
        <v>48631</v>
      </c>
      <c r="G9" s="31">
        <f>SUM(F9:F9)</f>
        <v>48631</v>
      </c>
    </row>
    <row r="10" spans="2:7" ht="21" thickBot="1">
      <c r="B10" s="433" t="s">
        <v>196</v>
      </c>
      <c r="C10" s="433"/>
      <c r="D10" s="433"/>
      <c r="E10" s="34">
        <f>SUM(E6:E9)</f>
        <v>737000</v>
      </c>
      <c r="F10" s="34">
        <f>SUM(F6:F9)</f>
        <v>48631</v>
      </c>
      <c r="G10" s="34">
        <f>SUM(G6:G9)</f>
        <v>48631</v>
      </c>
    </row>
    <row r="11" ht="21" thickTop="1"/>
    <row r="12" ht="21">
      <c r="B12" s="23" t="s">
        <v>215</v>
      </c>
    </row>
  </sheetData>
  <sheetProtection/>
  <mergeCells count="4">
    <mergeCell ref="B1:G1"/>
    <mergeCell ref="B2:G2"/>
    <mergeCell ref="B3:G3"/>
    <mergeCell ref="B10:D10"/>
  </mergeCells>
  <printOptions/>
  <pageMargins left="0.31496062992125984" right="0.31496062992125984" top="0.7480314960629921" bottom="0.35433070866141736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"/>
  <sheetViews>
    <sheetView zoomScalePageLayoutView="0" workbookViewId="0" topLeftCell="A1">
      <selection activeCell="H9" sqref="H9"/>
    </sheetView>
  </sheetViews>
  <sheetFormatPr defaultColWidth="9.00390625" defaultRowHeight="15"/>
  <cols>
    <col min="1" max="1" width="9.00390625" style="7" customWidth="1"/>
    <col min="2" max="2" width="15.7109375" style="7" customWidth="1"/>
    <col min="3" max="3" width="20.140625" style="7" customWidth="1"/>
    <col min="4" max="4" width="15.421875" style="7" customWidth="1"/>
    <col min="5" max="5" width="17.421875" style="7" customWidth="1"/>
    <col min="6" max="6" width="25.140625" style="7" customWidth="1"/>
    <col min="7" max="7" width="21.7109375" style="7" customWidth="1"/>
    <col min="8" max="8" width="21.140625" style="7" customWidth="1"/>
    <col min="9" max="16384" width="9.00390625" style="7" customWidth="1"/>
  </cols>
  <sheetData>
    <row r="1" spans="2:8" ht="21">
      <c r="B1" s="412" t="str">
        <f>+งบแสดงฐานะการเงิน!A1</f>
        <v>องค์การบริหารส่วนตำบลคอกควาย</v>
      </c>
      <c r="C1" s="412"/>
      <c r="D1" s="412"/>
      <c r="E1" s="412"/>
      <c r="F1" s="412"/>
      <c r="G1" s="412"/>
      <c r="H1" s="412"/>
    </row>
    <row r="2" spans="2:8" ht="21">
      <c r="B2" s="412" t="s">
        <v>634</v>
      </c>
      <c r="C2" s="412"/>
      <c r="D2" s="412"/>
      <c r="E2" s="412"/>
      <c r="F2" s="412"/>
      <c r="G2" s="412"/>
      <c r="H2" s="412"/>
    </row>
    <row r="3" spans="2:8" ht="21">
      <c r="B3" s="412" t="str">
        <f>+'ตามแผนงาน 1'!B3:G3</f>
        <v>ตั้งแต่วันที่  1  ตุลาคม  2560      ถึง 30   กันยายน  2561</v>
      </c>
      <c r="C3" s="412"/>
      <c r="D3" s="412"/>
      <c r="E3" s="412"/>
      <c r="F3" s="412"/>
      <c r="G3" s="412"/>
      <c r="H3" s="412"/>
    </row>
    <row r="5" spans="1:8" s="25" customFormat="1" ht="63">
      <c r="A5" s="277"/>
      <c r="B5" s="38" t="s">
        <v>214</v>
      </c>
      <c r="C5" s="267" t="s">
        <v>200</v>
      </c>
      <c r="D5" s="267" t="s">
        <v>197</v>
      </c>
      <c r="E5" s="39" t="s">
        <v>59</v>
      </c>
      <c r="F5" s="43" t="s">
        <v>231</v>
      </c>
      <c r="G5" s="43" t="s">
        <v>232</v>
      </c>
      <c r="H5" s="267" t="s">
        <v>196</v>
      </c>
    </row>
    <row r="6" spans="2:8" ht="21">
      <c r="B6" s="27" t="s">
        <v>216</v>
      </c>
      <c r="C6" s="28" t="s">
        <v>218</v>
      </c>
      <c r="D6" s="28" t="s">
        <v>565</v>
      </c>
      <c r="E6" s="31">
        <v>716000</v>
      </c>
      <c r="F6" s="31">
        <v>256860</v>
      </c>
      <c r="G6" s="31">
        <v>0</v>
      </c>
      <c r="H6" s="31">
        <f>SUM(F6:G6)</f>
        <v>256860</v>
      </c>
    </row>
    <row r="7" spans="2:8" ht="21">
      <c r="B7" s="28" t="s">
        <v>219</v>
      </c>
      <c r="C7" s="41" t="s">
        <v>149</v>
      </c>
      <c r="D7" s="28" t="s">
        <v>565</v>
      </c>
      <c r="E7" s="31">
        <v>51000</v>
      </c>
      <c r="F7" s="31">
        <v>45050</v>
      </c>
      <c r="G7" s="31">
        <v>0</v>
      </c>
      <c r="H7" s="31">
        <f>SUM(F7:G7)</f>
        <v>45050</v>
      </c>
    </row>
    <row r="8" spans="2:8" ht="21">
      <c r="B8" s="28"/>
      <c r="C8" s="41" t="s">
        <v>150</v>
      </c>
      <c r="D8" s="28" t="s">
        <v>565</v>
      </c>
      <c r="E8" s="31">
        <v>455000</v>
      </c>
      <c r="F8" s="31">
        <v>354587</v>
      </c>
      <c r="G8" s="31">
        <f>114000+7746</f>
        <v>121746</v>
      </c>
      <c r="H8" s="31">
        <f>SUM(F8:G8)</f>
        <v>476333</v>
      </c>
    </row>
    <row r="9" spans="2:8" ht="21">
      <c r="B9" s="28"/>
      <c r="C9" s="41" t="s">
        <v>151</v>
      </c>
      <c r="D9" s="28" t="s">
        <v>565</v>
      </c>
      <c r="E9" s="31">
        <v>362000</v>
      </c>
      <c r="F9" s="31">
        <f>169614-2138</f>
        <v>167476</v>
      </c>
      <c r="G9" s="31">
        <v>47530</v>
      </c>
      <c r="H9" s="31">
        <f>SUM(F9:G9)</f>
        <v>215006</v>
      </c>
    </row>
    <row r="10" spans="2:8" ht="21">
      <c r="B10" s="28" t="s">
        <v>222</v>
      </c>
      <c r="C10" s="41" t="s">
        <v>221</v>
      </c>
      <c r="D10" s="28" t="s">
        <v>565</v>
      </c>
      <c r="E10" s="31">
        <v>19000</v>
      </c>
      <c r="F10" s="31">
        <v>18800</v>
      </c>
      <c r="G10" s="31"/>
      <c r="H10" s="31">
        <f>SUM(F10:G10)</f>
        <v>18800</v>
      </c>
    </row>
    <row r="11" spans="2:8" ht="21" thickBot="1">
      <c r="B11" s="433" t="s">
        <v>196</v>
      </c>
      <c r="C11" s="433"/>
      <c r="D11" s="433"/>
      <c r="E11" s="34">
        <f>SUM(E6:E10)</f>
        <v>1603000</v>
      </c>
      <c r="F11" s="34">
        <f>SUM(F6:F10)</f>
        <v>842773</v>
      </c>
      <c r="G11" s="34">
        <f>SUM(G6:G10)</f>
        <v>169276</v>
      </c>
      <c r="H11" s="34">
        <f>SUM(H6:H10)</f>
        <v>1012049</v>
      </c>
    </row>
    <row r="12" ht="21" thickTop="1"/>
    <row r="13" ht="21">
      <c r="B13" s="23" t="s">
        <v>215</v>
      </c>
    </row>
  </sheetData>
  <sheetProtection/>
  <mergeCells count="4">
    <mergeCell ref="B1:H1"/>
    <mergeCell ref="B2:H2"/>
    <mergeCell ref="B3:H3"/>
    <mergeCell ref="B11:D11"/>
  </mergeCells>
  <printOptions/>
  <pageMargins left="0.31496062992125984" right="0.31496062992125984" top="0.7480314960629921" bottom="0.35433070866141736" header="0.31496062992125984" footer="0.31496062992125984"/>
  <pageSetup horizontalDpi="300" verticalDpi="3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"/>
  <sheetViews>
    <sheetView zoomScalePageLayoutView="0" workbookViewId="0" topLeftCell="A1">
      <selection activeCell="C5" sqref="C5"/>
    </sheetView>
  </sheetViews>
  <sheetFormatPr defaultColWidth="9.00390625" defaultRowHeight="15"/>
  <cols>
    <col min="1" max="1" width="9.00390625" style="7" customWidth="1"/>
    <col min="2" max="2" width="15.7109375" style="7" customWidth="1"/>
    <col min="3" max="3" width="20.140625" style="7" customWidth="1"/>
    <col min="4" max="4" width="20.421875" style="7" customWidth="1"/>
    <col min="5" max="5" width="16.421875" style="7" customWidth="1"/>
    <col min="6" max="6" width="24.7109375" style="7" customWidth="1"/>
    <col min="7" max="7" width="19.8515625" style="7" customWidth="1"/>
    <col min="8" max="16384" width="9.00390625" style="7" customWidth="1"/>
  </cols>
  <sheetData>
    <row r="1" spans="2:7" ht="21">
      <c r="B1" s="412" t="str">
        <f>+งบแสดงฐานะการเงิน!A1</f>
        <v>องค์การบริหารส่วนตำบลคอกควาย</v>
      </c>
      <c r="C1" s="412"/>
      <c r="D1" s="412"/>
      <c r="E1" s="412"/>
      <c r="F1" s="412"/>
      <c r="G1" s="412"/>
    </row>
    <row r="2" spans="2:7" ht="21">
      <c r="B2" s="412" t="s">
        <v>635</v>
      </c>
      <c r="C2" s="412"/>
      <c r="D2" s="412"/>
      <c r="E2" s="412"/>
      <c r="F2" s="412"/>
      <c r="G2" s="412"/>
    </row>
    <row r="3" spans="2:7" ht="21">
      <c r="B3" s="412" t="str">
        <f>+'ตามแผนงาน 1'!B3:G3</f>
        <v>ตั้งแต่วันที่  1  ตุลาคม  2560      ถึง 30   กันยายน  2561</v>
      </c>
      <c r="C3" s="412"/>
      <c r="D3" s="412"/>
      <c r="E3" s="412"/>
      <c r="F3" s="412"/>
      <c r="G3" s="412"/>
    </row>
    <row r="5" spans="1:7" s="25" customFormat="1" ht="63">
      <c r="A5" s="277"/>
      <c r="B5" s="267" t="s">
        <v>214</v>
      </c>
      <c r="C5" s="267" t="s">
        <v>200</v>
      </c>
      <c r="D5" s="267" t="s">
        <v>197</v>
      </c>
      <c r="E5" s="39" t="s">
        <v>59</v>
      </c>
      <c r="F5" s="39" t="s">
        <v>233</v>
      </c>
      <c r="G5" s="267" t="s">
        <v>196</v>
      </c>
    </row>
    <row r="6" spans="2:7" ht="21">
      <c r="B6" s="28" t="s">
        <v>219</v>
      </c>
      <c r="C6" s="41" t="s">
        <v>150</v>
      </c>
      <c r="D6" s="28" t="s">
        <v>565</v>
      </c>
      <c r="E6" s="31">
        <v>130000</v>
      </c>
      <c r="F6" s="31">
        <v>27600</v>
      </c>
      <c r="G6" s="31">
        <f>SUM(F6:F6)</f>
        <v>27600</v>
      </c>
    </row>
    <row r="7" spans="2:7" ht="21">
      <c r="B7" s="28"/>
      <c r="C7" s="41" t="s">
        <v>151</v>
      </c>
      <c r="D7" s="28" t="s">
        <v>565</v>
      </c>
      <c r="E7" s="31">
        <v>30000</v>
      </c>
      <c r="F7" s="31"/>
      <c r="G7" s="31">
        <f>SUM(F7:F7)</f>
        <v>0</v>
      </c>
    </row>
    <row r="8" spans="2:7" ht="21" thickBot="1">
      <c r="B8" s="433" t="s">
        <v>196</v>
      </c>
      <c r="C8" s="433"/>
      <c r="D8" s="433"/>
      <c r="E8" s="34">
        <f>SUM(E6:E7)</f>
        <v>160000</v>
      </c>
      <c r="F8" s="34">
        <f>SUM(F6:F7)</f>
        <v>27600</v>
      </c>
      <c r="G8" s="34">
        <f>SUM(G6:G7)</f>
        <v>27600</v>
      </c>
    </row>
    <row r="9" ht="21" thickTop="1"/>
    <row r="10" ht="21">
      <c r="B10" s="23" t="s">
        <v>215</v>
      </c>
    </row>
  </sheetData>
  <sheetProtection/>
  <mergeCells count="4">
    <mergeCell ref="B1:G1"/>
    <mergeCell ref="B2:G2"/>
    <mergeCell ref="B3:G3"/>
    <mergeCell ref="B8:D8"/>
  </mergeCells>
  <printOptions/>
  <pageMargins left="0.31496062992125984" right="0.31496062992125984" top="0.7480314960629921" bottom="0.35433070866141736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2"/>
  <sheetViews>
    <sheetView zoomScalePageLayoutView="0" workbookViewId="0" topLeftCell="A4">
      <selection activeCell="H13" sqref="H13"/>
    </sheetView>
  </sheetViews>
  <sheetFormatPr defaultColWidth="9.00390625" defaultRowHeight="15"/>
  <cols>
    <col min="1" max="1" width="9.00390625" style="7" customWidth="1"/>
    <col min="2" max="2" width="15.7109375" style="7" customWidth="1"/>
    <col min="3" max="3" width="20.140625" style="7" customWidth="1"/>
    <col min="4" max="5" width="12.57421875" style="7" customWidth="1"/>
    <col min="6" max="6" width="20.421875" style="7" customWidth="1"/>
    <col min="7" max="7" width="16.7109375" style="7" customWidth="1"/>
    <col min="8" max="8" width="17.421875" style="7" customWidth="1"/>
    <col min="9" max="9" width="13.421875" style="7" customWidth="1"/>
    <col min="10" max="16384" width="9.00390625" style="7" customWidth="1"/>
  </cols>
  <sheetData>
    <row r="1" spans="2:9" ht="21">
      <c r="B1" s="412" t="str">
        <f>+งบแสดงฐานะการเงิน!A1</f>
        <v>องค์การบริหารส่วนตำบลคอกควาย</v>
      </c>
      <c r="C1" s="412"/>
      <c r="D1" s="412"/>
      <c r="E1" s="412"/>
      <c r="F1" s="412"/>
      <c r="G1" s="412"/>
      <c r="H1" s="412"/>
      <c r="I1" s="412"/>
    </row>
    <row r="2" spans="2:9" ht="21">
      <c r="B2" s="412" t="s">
        <v>638</v>
      </c>
      <c r="C2" s="412"/>
      <c r="D2" s="412"/>
      <c r="E2" s="412"/>
      <c r="F2" s="412"/>
      <c r="G2" s="412"/>
      <c r="H2" s="412"/>
      <c r="I2" s="412"/>
    </row>
    <row r="3" spans="2:9" ht="21">
      <c r="B3" s="412" t="str">
        <f>+'ตามแผนงาน 1'!B3:G3</f>
        <v>ตั้งแต่วันที่  1  ตุลาคม  2560      ถึง 30   กันยายน  2561</v>
      </c>
      <c r="C3" s="412"/>
      <c r="D3" s="412"/>
      <c r="E3" s="412"/>
      <c r="F3" s="412"/>
      <c r="G3" s="412"/>
      <c r="H3" s="412"/>
      <c r="I3" s="412"/>
    </row>
    <row r="5" spans="1:9" s="25" customFormat="1" ht="63">
      <c r="A5" s="277"/>
      <c r="B5" s="267" t="s">
        <v>214</v>
      </c>
      <c r="C5" s="267" t="s">
        <v>200</v>
      </c>
      <c r="D5" s="267" t="s">
        <v>197</v>
      </c>
      <c r="E5" s="39" t="s">
        <v>59</v>
      </c>
      <c r="F5" s="43" t="s">
        <v>234</v>
      </c>
      <c r="G5" s="43" t="s">
        <v>235</v>
      </c>
      <c r="H5" s="43" t="s">
        <v>236</v>
      </c>
      <c r="I5" s="267" t="s">
        <v>196</v>
      </c>
    </row>
    <row r="6" spans="2:9" ht="21">
      <c r="B6" s="28" t="s">
        <v>219</v>
      </c>
      <c r="C6" s="41" t="s">
        <v>150</v>
      </c>
      <c r="D6" s="28" t="s">
        <v>565</v>
      </c>
      <c r="E6" s="31">
        <v>433000</v>
      </c>
      <c r="F6" s="31">
        <v>48740</v>
      </c>
      <c r="G6" s="31"/>
      <c r="H6" s="31"/>
      <c r="I6" s="31">
        <f>SUM(F6:H6)</f>
        <v>48740</v>
      </c>
    </row>
    <row r="7" spans="2:9" ht="21">
      <c r="B7" s="28"/>
      <c r="C7" s="41" t="s">
        <v>151</v>
      </c>
      <c r="D7" s="28" t="s">
        <v>565</v>
      </c>
      <c r="E7" s="31">
        <v>32000</v>
      </c>
      <c r="F7" s="31">
        <v>32000</v>
      </c>
      <c r="G7" s="31"/>
      <c r="H7" s="31"/>
      <c r="I7" s="31">
        <f>SUM(F7:H7)</f>
        <v>32000</v>
      </c>
    </row>
    <row r="8" spans="2:9" ht="21">
      <c r="B8" s="28" t="s">
        <v>222</v>
      </c>
      <c r="C8" s="41" t="s">
        <v>221</v>
      </c>
      <c r="D8" s="28" t="s">
        <v>565</v>
      </c>
      <c r="E8" s="31">
        <v>200000</v>
      </c>
      <c r="F8" s="31"/>
      <c r="G8" s="31">
        <v>161000</v>
      </c>
      <c r="H8" s="31">
        <v>37000</v>
      </c>
      <c r="I8" s="31">
        <f>SUM(F8:H8)</f>
        <v>198000</v>
      </c>
    </row>
    <row r="9" spans="2:9" ht="21">
      <c r="B9" s="28"/>
      <c r="C9" s="41" t="s">
        <v>163</v>
      </c>
      <c r="D9" s="28" t="s">
        <v>565</v>
      </c>
      <c r="E9" s="31">
        <v>20000</v>
      </c>
      <c r="F9" s="31"/>
      <c r="G9" s="31"/>
      <c r="H9" s="31"/>
      <c r="I9" s="31">
        <f>SUM(F9:H9)</f>
        <v>0</v>
      </c>
    </row>
    <row r="10" spans="2:9" ht="21" thickBot="1">
      <c r="B10" s="433" t="s">
        <v>196</v>
      </c>
      <c r="C10" s="433"/>
      <c r="D10" s="433"/>
      <c r="E10" s="34">
        <f>SUM(E6:E9)</f>
        <v>685000</v>
      </c>
      <c r="F10" s="34">
        <f>SUM(F6:F9)</f>
        <v>80740</v>
      </c>
      <c r="G10" s="34">
        <f>SUM(G6:G9)</f>
        <v>161000</v>
      </c>
      <c r="H10" s="34">
        <f>SUM(H6:H9)</f>
        <v>37000</v>
      </c>
      <c r="I10" s="34">
        <f>SUM(I6:I9)</f>
        <v>278740</v>
      </c>
    </row>
    <row r="11" ht="21" thickTop="1"/>
    <row r="12" ht="21">
      <c r="B12" s="23" t="s">
        <v>215</v>
      </c>
    </row>
  </sheetData>
  <sheetProtection/>
  <mergeCells count="4">
    <mergeCell ref="B1:I1"/>
    <mergeCell ref="B2:I2"/>
    <mergeCell ref="B3:I3"/>
    <mergeCell ref="B10:D10"/>
  </mergeCells>
  <printOptions/>
  <pageMargins left="0.31496062992125984" right="0.31496062992125984" top="0.7480314960629921" bottom="0.35433070866141736" header="0.31496062992125984" footer="0.31496062992125984"/>
  <pageSetup horizontalDpi="300" verticalDpi="3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G52"/>
  <sheetViews>
    <sheetView zoomScalePageLayoutView="0" workbookViewId="0" topLeftCell="A19">
      <selection activeCell="H50" sqref="H50"/>
    </sheetView>
  </sheetViews>
  <sheetFormatPr defaultColWidth="9.00390625" defaultRowHeight="15"/>
  <cols>
    <col min="1" max="1" width="9.00390625" style="7" customWidth="1"/>
    <col min="2" max="2" width="18.00390625" style="7" customWidth="1"/>
    <col min="3" max="3" width="22.421875" style="7" customWidth="1"/>
    <col min="4" max="4" width="17.7109375" style="7" customWidth="1"/>
    <col min="5" max="5" width="16.140625" style="7" customWidth="1"/>
    <col min="6" max="6" width="21.7109375" style="7" customWidth="1"/>
    <col min="7" max="7" width="20.421875" style="7" customWidth="1"/>
    <col min="8" max="16384" width="9.00390625" style="7" customWidth="1"/>
  </cols>
  <sheetData>
    <row r="1" spans="2:7" ht="21">
      <c r="B1" s="412" t="str">
        <f>+งบแสดงฐานะการเงิน!A1</f>
        <v>องค์การบริหารส่วนตำบลคอกควาย</v>
      </c>
      <c r="C1" s="412"/>
      <c r="D1" s="412"/>
      <c r="E1" s="412"/>
      <c r="F1" s="412"/>
      <c r="G1" s="412"/>
    </row>
    <row r="2" spans="2:7" ht="21">
      <c r="B2" s="412" t="s">
        <v>636</v>
      </c>
      <c r="C2" s="412"/>
      <c r="D2" s="412"/>
      <c r="E2" s="412"/>
      <c r="F2" s="412"/>
      <c r="G2" s="412"/>
    </row>
    <row r="3" spans="2:7" ht="21">
      <c r="B3" s="412" t="str">
        <f>+'ตามแผนงาน 1'!B3:G3</f>
        <v>ตั้งแต่วันที่  1  ตุลาคม  2560      ถึง 30   กันยายน  2561</v>
      </c>
      <c r="C3" s="412"/>
      <c r="D3" s="412"/>
      <c r="E3" s="412"/>
      <c r="F3" s="412"/>
      <c r="G3" s="412"/>
    </row>
    <row r="5" spans="1:7" s="25" customFormat="1" ht="42">
      <c r="A5" s="277"/>
      <c r="B5" s="267" t="s">
        <v>214</v>
      </c>
      <c r="C5" s="267" t="s">
        <v>200</v>
      </c>
      <c r="D5" s="267" t="s">
        <v>197</v>
      </c>
      <c r="E5" s="39" t="s">
        <v>59</v>
      </c>
      <c r="F5" s="43" t="s">
        <v>237</v>
      </c>
      <c r="G5" s="267" t="s">
        <v>196</v>
      </c>
    </row>
    <row r="6" spans="2:7" ht="21">
      <c r="B6" s="28" t="s">
        <v>222</v>
      </c>
      <c r="C6" s="41" t="s">
        <v>163</v>
      </c>
      <c r="D6" s="41" t="s">
        <v>565</v>
      </c>
      <c r="E6" s="31">
        <v>2861000</v>
      </c>
      <c r="F6" s="31">
        <v>2681000</v>
      </c>
      <c r="G6" s="31">
        <f>SUM(F6:F6)</f>
        <v>2681000</v>
      </c>
    </row>
    <row r="7" spans="2:7" ht="21">
      <c r="B7" s="28" t="s">
        <v>222</v>
      </c>
      <c r="C7" s="41" t="s">
        <v>640</v>
      </c>
      <c r="D7" s="41" t="s">
        <v>143</v>
      </c>
      <c r="E7" s="31">
        <v>319288</v>
      </c>
      <c r="F7" s="31">
        <v>319288</v>
      </c>
      <c r="G7" s="31">
        <f>F7</f>
        <v>319288</v>
      </c>
    </row>
    <row r="8" spans="2:7" ht="21">
      <c r="B8" s="28" t="s">
        <v>223</v>
      </c>
      <c r="C8" s="41" t="s">
        <v>56</v>
      </c>
      <c r="D8" s="41" t="s">
        <v>565</v>
      </c>
      <c r="E8" s="31">
        <v>16000</v>
      </c>
      <c r="F8" s="31"/>
      <c r="G8" s="31">
        <f>SUM(F8:F8)</f>
        <v>0</v>
      </c>
    </row>
    <row r="9" spans="2:7" ht="21">
      <c r="B9" s="28"/>
      <c r="C9" s="41"/>
      <c r="D9" s="41"/>
      <c r="E9" s="31"/>
      <c r="F9" s="31"/>
      <c r="G9" s="32">
        <f>SUM(F9:F9)</f>
        <v>0</v>
      </c>
    </row>
    <row r="10" spans="2:7" ht="21" thickBot="1">
      <c r="B10" s="433" t="s">
        <v>196</v>
      </c>
      <c r="C10" s="433"/>
      <c r="D10" s="433"/>
      <c r="E10" s="34">
        <f>SUM(E6:E9)</f>
        <v>3196288</v>
      </c>
      <c r="F10" s="34">
        <f>SUM(F6:F9)</f>
        <v>3000288</v>
      </c>
      <c r="G10" s="34">
        <f>SUM(G6:G9)</f>
        <v>3000288</v>
      </c>
    </row>
    <row r="11" ht="21" thickTop="1"/>
    <row r="12" ht="21">
      <c r="B12" s="23" t="s">
        <v>215</v>
      </c>
    </row>
    <row r="21" spans="2:7" ht="21">
      <c r="B21" s="412" t="s">
        <v>376</v>
      </c>
      <c r="C21" s="412"/>
      <c r="D21" s="412"/>
      <c r="E21" s="412"/>
      <c r="F21" s="412"/>
      <c r="G21" s="412"/>
    </row>
    <row r="22" spans="2:7" ht="21">
      <c r="B22" s="412" t="s">
        <v>636</v>
      </c>
      <c r="C22" s="412"/>
      <c r="D22" s="412"/>
      <c r="E22" s="412"/>
      <c r="F22" s="412"/>
      <c r="G22" s="412"/>
    </row>
    <row r="23" spans="2:7" ht="21">
      <c r="B23" s="412" t="s">
        <v>678</v>
      </c>
      <c r="C23" s="412"/>
      <c r="D23" s="412"/>
      <c r="E23" s="412"/>
      <c r="F23" s="412"/>
      <c r="G23" s="412"/>
    </row>
    <row r="25" spans="1:7" ht="42">
      <c r="A25" s="367"/>
      <c r="B25" s="368" t="s">
        <v>214</v>
      </c>
      <c r="C25" s="368" t="s">
        <v>200</v>
      </c>
      <c r="D25" s="368" t="s">
        <v>197</v>
      </c>
      <c r="E25" s="39" t="s">
        <v>59</v>
      </c>
      <c r="F25" s="43" t="s">
        <v>237</v>
      </c>
      <c r="G25" s="368" t="s">
        <v>196</v>
      </c>
    </row>
    <row r="26" spans="2:7" ht="21">
      <c r="B26" s="28" t="s">
        <v>222</v>
      </c>
      <c r="C26" s="41" t="s">
        <v>163</v>
      </c>
      <c r="D26" s="41" t="s">
        <v>565</v>
      </c>
      <c r="E26" s="31">
        <v>2861000</v>
      </c>
      <c r="F26" s="31">
        <v>2681000</v>
      </c>
      <c r="G26" s="31">
        <f>SUM(F26:F26)</f>
        <v>2681000</v>
      </c>
    </row>
    <row r="27" spans="2:7" ht="21">
      <c r="B27" s="28"/>
      <c r="C27" s="41"/>
      <c r="D27" s="41"/>
      <c r="E27" s="31"/>
      <c r="F27" s="31"/>
      <c r="G27" s="31">
        <f>F27</f>
        <v>0</v>
      </c>
    </row>
    <row r="28" spans="2:7" ht="21">
      <c r="B28" s="28"/>
      <c r="C28" s="41"/>
      <c r="D28" s="41"/>
      <c r="E28" s="31"/>
      <c r="F28" s="31"/>
      <c r="G28" s="31">
        <f>SUM(F28:F28)</f>
        <v>0</v>
      </c>
    </row>
    <row r="29" spans="2:7" ht="21">
      <c r="B29" s="28"/>
      <c r="C29" s="41"/>
      <c r="D29" s="41"/>
      <c r="E29" s="31"/>
      <c r="F29" s="31"/>
      <c r="G29" s="32">
        <f>SUM(F29:F29)</f>
        <v>0</v>
      </c>
    </row>
    <row r="30" spans="2:7" ht="21" thickBot="1">
      <c r="B30" s="433" t="s">
        <v>196</v>
      </c>
      <c r="C30" s="433"/>
      <c r="D30" s="433"/>
      <c r="E30" s="34">
        <f>SUM(E26:E29)</f>
        <v>2861000</v>
      </c>
      <c r="F30" s="34">
        <f>SUM(F26:F29)</f>
        <v>2681000</v>
      </c>
      <c r="G30" s="34">
        <f>SUM(G26:G29)</f>
        <v>2681000</v>
      </c>
    </row>
    <row r="31" ht="21" thickTop="1"/>
    <row r="32" ht="21">
      <c r="B32" s="23" t="s">
        <v>215</v>
      </c>
    </row>
    <row r="41" spans="2:7" ht="21">
      <c r="B41" s="412" t="s">
        <v>376</v>
      </c>
      <c r="C41" s="412"/>
      <c r="D41" s="412"/>
      <c r="E41" s="412"/>
      <c r="F41" s="412"/>
      <c r="G41" s="412"/>
    </row>
    <row r="42" spans="2:7" ht="21">
      <c r="B42" s="412" t="s">
        <v>636</v>
      </c>
      <c r="C42" s="412"/>
      <c r="D42" s="412"/>
      <c r="E42" s="412"/>
      <c r="F42" s="412"/>
      <c r="G42" s="412"/>
    </row>
    <row r="43" spans="2:7" ht="21">
      <c r="B43" s="412" t="s">
        <v>678</v>
      </c>
      <c r="C43" s="412"/>
      <c r="D43" s="412"/>
      <c r="E43" s="412"/>
      <c r="F43" s="412"/>
      <c r="G43" s="412"/>
    </row>
    <row r="45" spans="2:7" ht="42">
      <c r="B45" s="368" t="s">
        <v>214</v>
      </c>
      <c r="C45" s="368" t="s">
        <v>200</v>
      </c>
      <c r="D45" s="368" t="s">
        <v>197</v>
      </c>
      <c r="E45" s="39" t="s">
        <v>59</v>
      </c>
      <c r="F45" s="43" t="s">
        <v>237</v>
      </c>
      <c r="G45" s="368" t="s">
        <v>196</v>
      </c>
    </row>
    <row r="46" spans="2:7" ht="21">
      <c r="B46" s="28" t="s">
        <v>222</v>
      </c>
      <c r="C46" s="41" t="s">
        <v>640</v>
      </c>
      <c r="D46" s="41" t="s">
        <v>143</v>
      </c>
      <c r="E46" s="31">
        <v>319288</v>
      </c>
      <c r="F46" s="31">
        <v>319288</v>
      </c>
      <c r="G46" s="31">
        <f>F46</f>
        <v>319288</v>
      </c>
    </row>
    <row r="47" spans="2:7" ht="21">
      <c r="B47" s="28"/>
      <c r="C47" s="41"/>
      <c r="D47" s="41"/>
      <c r="E47" s="31"/>
      <c r="F47" s="31"/>
      <c r="G47" s="31">
        <f>F47</f>
        <v>0</v>
      </c>
    </row>
    <row r="48" spans="2:7" ht="21">
      <c r="B48" s="28"/>
      <c r="C48" s="41"/>
      <c r="D48" s="41"/>
      <c r="E48" s="31"/>
      <c r="F48" s="31"/>
      <c r="G48" s="31">
        <f>SUM(F48:F48)</f>
        <v>0</v>
      </c>
    </row>
    <row r="49" spans="2:7" ht="21">
      <c r="B49" s="28"/>
      <c r="C49" s="41"/>
      <c r="D49" s="41"/>
      <c r="E49" s="31"/>
      <c r="F49" s="31"/>
      <c r="G49" s="32">
        <f>SUM(F49:F49)</f>
        <v>0</v>
      </c>
    </row>
    <row r="50" spans="2:7" ht="21" thickBot="1">
      <c r="B50" s="433" t="s">
        <v>196</v>
      </c>
      <c r="C50" s="433"/>
      <c r="D50" s="433"/>
      <c r="E50" s="34">
        <f>SUM(E46:E49)</f>
        <v>319288</v>
      </c>
      <c r="F50" s="34">
        <f>SUM(F46:F49)</f>
        <v>319288</v>
      </c>
      <c r="G50" s="34">
        <f>SUM(G46:G49)</f>
        <v>319288</v>
      </c>
    </row>
    <row r="51" ht="21" thickTop="1"/>
    <row r="52" ht="21">
      <c r="B52" s="23" t="s">
        <v>215</v>
      </c>
    </row>
  </sheetData>
  <sheetProtection/>
  <mergeCells count="12">
    <mergeCell ref="B1:G1"/>
    <mergeCell ref="B2:G2"/>
    <mergeCell ref="B3:G3"/>
    <mergeCell ref="B10:D10"/>
    <mergeCell ref="B21:G21"/>
    <mergeCell ref="B22:G22"/>
    <mergeCell ref="B23:G23"/>
    <mergeCell ref="B30:D30"/>
    <mergeCell ref="B41:G41"/>
    <mergeCell ref="B42:G42"/>
    <mergeCell ref="B43:G43"/>
    <mergeCell ref="B50:D50"/>
  </mergeCells>
  <printOptions/>
  <pageMargins left="0.31496062992125984" right="0.31496062992125984" top="0.7480314960629921" bottom="0.35433070866141736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2"/>
  <sheetViews>
    <sheetView zoomScalePageLayoutView="0" workbookViewId="0" topLeftCell="A1">
      <selection activeCell="E12" sqref="E12"/>
    </sheetView>
  </sheetViews>
  <sheetFormatPr defaultColWidth="9.00390625" defaultRowHeight="15"/>
  <cols>
    <col min="1" max="1" width="9.00390625" style="7" customWidth="1"/>
    <col min="2" max="2" width="15.7109375" style="7" customWidth="1"/>
    <col min="3" max="3" width="20.140625" style="7" customWidth="1"/>
    <col min="4" max="4" width="17.140625" style="7" customWidth="1"/>
    <col min="5" max="5" width="17.7109375" style="7" customWidth="1"/>
    <col min="6" max="6" width="24.140625" style="7" customWidth="1"/>
    <col min="7" max="7" width="17.421875" style="7" customWidth="1"/>
    <col min="8" max="16384" width="9.00390625" style="7" customWidth="1"/>
  </cols>
  <sheetData>
    <row r="1" spans="2:7" ht="21">
      <c r="B1" s="412" t="str">
        <f>+งบแสดงฐานะการเงิน!A1</f>
        <v>องค์การบริหารส่วนตำบลคอกควาย</v>
      </c>
      <c r="C1" s="412"/>
      <c r="D1" s="412"/>
      <c r="E1" s="412"/>
      <c r="F1" s="412"/>
      <c r="G1" s="412"/>
    </row>
    <row r="2" spans="2:7" ht="21">
      <c r="B2" s="412" t="s">
        <v>637</v>
      </c>
      <c r="C2" s="412"/>
      <c r="D2" s="412"/>
      <c r="E2" s="412"/>
      <c r="F2" s="412"/>
      <c r="G2" s="412"/>
    </row>
    <row r="3" spans="2:7" ht="21">
      <c r="B3" s="412" t="str">
        <f>+'ตามแผนงาน 1'!B3:G3</f>
        <v>ตั้งแต่วันที่  1  ตุลาคม  2560      ถึง 30   กันยายน  2561</v>
      </c>
      <c r="C3" s="412"/>
      <c r="D3" s="412"/>
      <c r="E3" s="412"/>
      <c r="F3" s="412"/>
      <c r="G3" s="412"/>
    </row>
    <row r="5" spans="1:7" s="25" customFormat="1" ht="42">
      <c r="A5" s="277"/>
      <c r="B5" s="267" t="s">
        <v>214</v>
      </c>
      <c r="C5" s="267" t="s">
        <v>200</v>
      </c>
      <c r="D5" s="267" t="s">
        <v>197</v>
      </c>
      <c r="E5" s="39" t="s">
        <v>59</v>
      </c>
      <c r="F5" s="43" t="s">
        <v>238</v>
      </c>
      <c r="G5" s="267" t="s">
        <v>196</v>
      </c>
    </row>
    <row r="6" spans="2:7" ht="21">
      <c r="B6" s="28" t="s">
        <v>219</v>
      </c>
      <c r="C6" s="41" t="s">
        <v>150</v>
      </c>
      <c r="D6" s="41" t="s">
        <v>565</v>
      </c>
      <c r="E6" s="31">
        <v>60000</v>
      </c>
      <c r="F6" s="31">
        <v>39500</v>
      </c>
      <c r="G6" s="31">
        <f>SUM(F6:F6)</f>
        <v>39500</v>
      </c>
    </row>
    <row r="7" spans="2:7" ht="21">
      <c r="B7" s="28"/>
      <c r="C7" s="41" t="s">
        <v>151</v>
      </c>
      <c r="D7" s="41" t="s">
        <v>565</v>
      </c>
      <c r="E7" s="31">
        <v>10000</v>
      </c>
      <c r="F7" s="31"/>
      <c r="G7" s="31">
        <f>SUM(F7:F7)</f>
        <v>0</v>
      </c>
    </row>
    <row r="8" spans="2:7" ht="21">
      <c r="B8" s="28"/>
      <c r="C8" s="41"/>
      <c r="D8" s="41"/>
      <c r="E8" s="31"/>
      <c r="F8" s="31"/>
      <c r="G8" s="31">
        <f>SUM(F8:F8)</f>
        <v>0</v>
      </c>
    </row>
    <row r="9" spans="2:7" ht="21">
      <c r="B9" s="28"/>
      <c r="C9" s="41"/>
      <c r="D9" s="41"/>
      <c r="E9" s="31"/>
      <c r="F9" s="31"/>
      <c r="G9" s="32">
        <f>SUM(F9:F9)</f>
        <v>0</v>
      </c>
    </row>
    <row r="10" spans="2:7" ht="21" thickBot="1">
      <c r="B10" s="433" t="s">
        <v>196</v>
      </c>
      <c r="C10" s="433"/>
      <c r="D10" s="433"/>
      <c r="E10" s="34">
        <f>SUM(E6:E9)</f>
        <v>70000</v>
      </c>
      <c r="F10" s="34">
        <f>SUM(F6:F9)</f>
        <v>39500</v>
      </c>
      <c r="G10" s="34">
        <f>SUM(G6:G9)</f>
        <v>39500</v>
      </c>
    </row>
    <row r="11" ht="21" thickTop="1"/>
    <row r="12" ht="21">
      <c r="B12" s="23" t="s">
        <v>215</v>
      </c>
    </row>
  </sheetData>
  <sheetProtection/>
  <mergeCells count="4">
    <mergeCell ref="B1:G1"/>
    <mergeCell ref="B2:G2"/>
    <mergeCell ref="B3:G3"/>
    <mergeCell ref="B10:D10"/>
  </mergeCells>
  <printOptions/>
  <pageMargins left="0.31496062992125984" right="0.31496062992125984" top="0.7480314960629921" bottom="0.35433070866141736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V262"/>
  <sheetViews>
    <sheetView view="pageBreakPreview" zoomScale="70" zoomScaleNormal="70" zoomScaleSheetLayoutView="70" zoomScalePageLayoutView="0" workbookViewId="0" topLeftCell="A16">
      <selection activeCell="I31" sqref="I31"/>
    </sheetView>
  </sheetViews>
  <sheetFormatPr defaultColWidth="9.00390625" defaultRowHeight="15"/>
  <cols>
    <col min="1" max="1" width="10.57421875" style="1" customWidth="1"/>
    <col min="2" max="2" width="20.00390625" style="1" customWidth="1"/>
    <col min="3" max="4" width="14.421875" style="1" customWidth="1"/>
    <col min="5" max="5" width="10.57421875" style="1" customWidth="1"/>
    <col min="6" max="6" width="12.8515625" style="1" customWidth="1"/>
    <col min="7" max="7" width="13.421875" style="1" customWidth="1"/>
    <col min="8" max="8" width="10.7109375" style="1" customWidth="1"/>
    <col min="9" max="9" width="13.8515625" style="1" customWidth="1"/>
    <col min="10" max="10" width="10.57421875" style="1" customWidth="1"/>
    <col min="11" max="11" width="9.421875" style="1" customWidth="1"/>
    <col min="12" max="12" width="12.57421875" style="1" customWidth="1"/>
    <col min="13" max="13" width="9.8515625" style="1" customWidth="1"/>
    <col min="14" max="14" width="12.57421875" style="1" customWidth="1"/>
    <col min="15" max="15" width="11.8515625" style="1" customWidth="1"/>
    <col min="16" max="16" width="9.140625" style="1" customWidth="1"/>
    <col min="17" max="17" width="4.140625" style="1" customWidth="1"/>
    <col min="18" max="18" width="13.140625" style="1" customWidth="1"/>
    <col min="19" max="16384" width="9.00390625" style="1" customWidth="1"/>
  </cols>
  <sheetData>
    <row r="1" spans="2:18" ht="19.5" customHeight="1">
      <c r="B1" s="441" t="str">
        <f>+งบแสดงฐานะการเงิน!A1</f>
        <v>องค์การบริหารส่วนตำบลคอกควาย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</row>
    <row r="2" spans="2:18" ht="19.5" customHeight="1">
      <c r="B2" s="441" t="s">
        <v>135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</row>
    <row r="3" spans="2:18" ht="19.5" customHeight="1">
      <c r="B3" s="441" t="s">
        <v>651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</row>
    <row r="4" spans="2:18" ht="24" customHeight="1">
      <c r="B4" s="442" t="s">
        <v>62</v>
      </c>
      <c r="C4" s="438" t="s">
        <v>59</v>
      </c>
      <c r="D4" s="443" t="s">
        <v>670</v>
      </c>
      <c r="E4" s="328" t="s">
        <v>582</v>
      </c>
      <c r="F4" s="440" t="s">
        <v>196</v>
      </c>
      <c r="G4" s="442" t="s">
        <v>198</v>
      </c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</row>
    <row r="5" spans="1:18" s="48" customFormat="1" ht="76.5" customHeight="1">
      <c r="A5" s="362"/>
      <c r="B5" s="442"/>
      <c r="C5" s="442"/>
      <c r="D5" s="442"/>
      <c r="E5" s="334" t="s">
        <v>664</v>
      </c>
      <c r="F5" s="440"/>
      <c r="G5" s="44" t="s">
        <v>239</v>
      </c>
      <c r="H5" s="44" t="s">
        <v>240</v>
      </c>
      <c r="I5" s="45" t="s">
        <v>241</v>
      </c>
      <c r="J5" s="44" t="s">
        <v>249</v>
      </c>
      <c r="K5" s="44" t="s">
        <v>242</v>
      </c>
      <c r="L5" s="44" t="s">
        <v>243</v>
      </c>
      <c r="M5" s="278" t="s">
        <v>244</v>
      </c>
      <c r="N5" s="333" t="s">
        <v>245</v>
      </c>
      <c r="O5" s="44" t="s">
        <v>246</v>
      </c>
      <c r="P5" s="44" t="s">
        <v>247</v>
      </c>
      <c r="Q5" s="371" t="s">
        <v>248</v>
      </c>
      <c r="R5" s="46" t="s">
        <v>154</v>
      </c>
    </row>
    <row r="6" spans="1:18" s="48" customFormat="1" ht="18.75" customHeight="1">
      <c r="A6" s="362"/>
      <c r="B6" s="59" t="s">
        <v>64</v>
      </c>
      <c r="C6" s="62"/>
      <c r="D6" s="62"/>
      <c r="E6" s="62"/>
      <c r="F6" s="65"/>
      <c r="G6" s="64"/>
      <c r="H6" s="64"/>
      <c r="I6" s="63"/>
      <c r="J6" s="64"/>
      <c r="K6" s="64"/>
      <c r="L6" s="64"/>
      <c r="M6" s="64"/>
      <c r="N6" s="64"/>
      <c r="O6" s="64"/>
      <c r="P6" s="64"/>
      <c r="Q6" s="64"/>
      <c r="R6" s="64"/>
    </row>
    <row r="7" spans="1:18" s="48" customFormat="1" ht="18.75" customHeight="1">
      <c r="A7" s="362"/>
      <c r="B7" s="338" t="s">
        <v>154</v>
      </c>
      <c r="C7" s="185">
        <v>10859300</v>
      </c>
      <c r="D7" s="185">
        <f aca="true" t="shared" si="0" ref="D7:D13">F7</f>
        <v>10333896</v>
      </c>
      <c r="E7" s="66"/>
      <c r="F7" s="53">
        <f>SUM(G7:R7)</f>
        <v>10333896</v>
      </c>
      <c r="G7" s="68"/>
      <c r="H7" s="68"/>
      <c r="I7" s="67"/>
      <c r="J7" s="68"/>
      <c r="K7" s="68"/>
      <c r="L7" s="68"/>
      <c r="M7" s="68"/>
      <c r="N7" s="68"/>
      <c r="O7" s="68"/>
      <c r="P7" s="68"/>
      <c r="Q7" s="68"/>
      <c r="R7" s="68">
        <f>10333896</f>
        <v>10333896</v>
      </c>
    </row>
    <row r="8" spans="1:18" s="48" customFormat="1" ht="18.75" customHeight="1">
      <c r="A8" s="362"/>
      <c r="B8" s="131" t="s">
        <v>217</v>
      </c>
      <c r="C8" s="70">
        <v>3607920</v>
      </c>
      <c r="D8" s="70">
        <f t="shared" si="0"/>
        <v>3607920</v>
      </c>
      <c r="E8" s="70"/>
      <c r="F8" s="53">
        <f>SUM(G8:R8)</f>
        <v>3607920</v>
      </c>
      <c r="G8" s="53">
        <v>3607920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s="48" customFormat="1" ht="18.75" customHeight="1">
      <c r="A9" s="362"/>
      <c r="B9" s="131" t="s">
        <v>218</v>
      </c>
      <c r="C9" s="70">
        <v>7381000</v>
      </c>
      <c r="D9" s="70">
        <f t="shared" si="0"/>
        <v>5238045.5</v>
      </c>
      <c r="E9" s="70"/>
      <c r="F9" s="53">
        <f aca="true" t="shared" si="1" ref="F9:F16">SUM(G9:R9)</f>
        <v>5238045.5</v>
      </c>
      <c r="G9" s="53">
        <f>2634875+173978</f>
        <v>2808853</v>
      </c>
      <c r="H9" s="53">
        <v>296520</v>
      </c>
      <c r="I9" s="53">
        <v>1875812.5</v>
      </c>
      <c r="J9" s="53">
        <v>0</v>
      </c>
      <c r="K9" s="53">
        <v>0</v>
      </c>
      <c r="L9" s="53">
        <v>256860</v>
      </c>
      <c r="M9" s="53"/>
      <c r="N9" s="53"/>
      <c r="O9" s="53"/>
      <c r="P9" s="53"/>
      <c r="Q9" s="53"/>
      <c r="R9" s="53"/>
    </row>
    <row r="10" spans="1:18" s="48" customFormat="1" ht="18.75" customHeight="1">
      <c r="A10" s="362"/>
      <c r="B10" s="339" t="s">
        <v>149</v>
      </c>
      <c r="C10" s="54">
        <v>625000</v>
      </c>
      <c r="D10" s="54">
        <f t="shared" si="0"/>
        <v>344200</v>
      </c>
      <c r="E10" s="54"/>
      <c r="F10" s="53">
        <f t="shared" si="1"/>
        <v>344200</v>
      </c>
      <c r="G10" s="53">
        <v>254750</v>
      </c>
      <c r="H10" s="53">
        <v>0</v>
      </c>
      <c r="I10" s="53">
        <v>44400</v>
      </c>
      <c r="J10" s="53">
        <v>0</v>
      </c>
      <c r="K10" s="53">
        <v>0</v>
      </c>
      <c r="L10" s="53">
        <v>45050</v>
      </c>
      <c r="M10" s="53"/>
      <c r="N10" s="53"/>
      <c r="O10" s="53"/>
      <c r="P10" s="53"/>
      <c r="Q10" s="53"/>
      <c r="R10" s="53"/>
    </row>
    <row r="11" spans="1:18" s="48" customFormat="1" ht="18.75" customHeight="1">
      <c r="A11" s="362"/>
      <c r="B11" s="342" t="s">
        <v>150</v>
      </c>
      <c r="C11" s="54">
        <v>4271400</v>
      </c>
      <c r="D11" s="54">
        <f t="shared" si="0"/>
        <v>2863459.77</v>
      </c>
      <c r="E11" s="54"/>
      <c r="F11" s="53">
        <f t="shared" si="1"/>
        <v>2863459.77</v>
      </c>
      <c r="G11" s="53">
        <v>1046239.77</v>
      </c>
      <c r="H11" s="53">
        <v>109525</v>
      </c>
      <c r="I11" s="53">
        <v>1115522</v>
      </c>
      <c r="J11" s="53">
        <v>0</v>
      </c>
      <c r="K11" s="53">
        <v>0</v>
      </c>
      <c r="L11" s="53">
        <v>476333</v>
      </c>
      <c r="M11" s="53">
        <v>27600</v>
      </c>
      <c r="N11" s="53">
        <v>48740</v>
      </c>
      <c r="O11" s="53">
        <v>0</v>
      </c>
      <c r="P11" s="53">
        <v>39500</v>
      </c>
      <c r="Q11" s="53"/>
      <c r="R11" s="53"/>
    </row>
    <row r="12" spans="1:18" s="48" customFormat="1" ht="18.75" customHeight="1">
      <c r="A12" s="362"/>
      <c r="B12" s="342" t="s">
        <v>151</v>
      </c>
      <c r="C12" s="54">
        <v>3027680</v>
      </c>
      <c r="D12" s="54">
        <f t="shared" si="0"/>
        <v>2528222.18</v>
      </c>
      <c r="E12" s="54"/>
      <c r="F12" s="53">
        <f t="shared" si="1"/>
        <v>2528222.18</v>
      </c>
      <c r="G12" s="53">
        <v>452037.6</v>
      </c>
      <c r="H12" s="53">
        <v>20555.5</v>
      </c>
      <c r="I12" s="53">
        <v>1660392.08</v>
      </c>
      <c r="J12" s="53">
        <v>99600</v>
      </c>
      <c r="K12" s="53">
        <v>48631</v>
      </c>
      <c r="L12" s="53">
        <v>215006</v>
      </c>
      <c r="M12" s="53">
        <v>0</v>
      </c>
      <c r="N12" s="53">
        <v>32000</v>
      </c>
      <c r="O12" s="53"/>
      <c r="P12" s="53"/>
      <c r="Q12" s="53"/>
      <c r="R12" s="53"/>
    </row>
    <row r="13" spans="1:18" s="48" customFormat="1" ht="18.75" customHeight="1">
      <c r="A13" s="362"/>
      <c r="B13" s="339" t="s">
        <v>220</v>
      </c>
      <c r="C13" s="54">
        <v>587000</v>
      </c>
      <c r="D13" s="54">
        <f t="shared" si="0"/>
        <v>428630.68999999994</v>
      </c>
      <c r="E13" s="54"/>
      <c r="F13" s="53">
        <f t="shared" si="1"/>
        <v>428630.68999999994</v>
      </c>
      <c r="G13" s="53">
        <v>337316.66</v>
      </c>
      <c r="H13" s="53">
        <v>0</v>
      </c>
      <c r="I13" s="53">
        <v>91314.03</v>
      </c>
      <c r="J13" s="53"/>
      <c r="K13" s="53"/>
      <c r="L13" s="53"/>
      <c r="M13" s="53"/>
      <c r="N13" s="53"/>
      <c r="O13" s="53"/>
      <c r="P13" s="53"/>
      <c r="Q13" s="53"/>
      <c r="R13" s="53"/>
    </row>
    <row r="14" spans="1:18" s="48" customFormat="1" ht="18.75" customHeight="1">
      <c r="A14" s="362"/>
      <c r="B14" s="342" t="s">
        <v>250</v>
      </c>
      <c r="C14" s="54">
        <v>1225700</v>
      </c>
      <c r="D14" s="54">
        <f>1190020</f>
        <v>1190020</v>
      </c>
      <c r="E14" s="54">
        <v>319288</v>
      </c>
      <c r="F14" s="53">
        <f>SUM(G14:R14)+E14</f>
        <v>1509308</v>
      </c>
      <c r="G14" s="54">
        <v>831960</v>
      </c>
      <c r="H14" s="54">
        <v>0</v>
      </c>
      <c r="I14" s="54">
        <v>141260</v>
      </c>
      <c r="J14" s="54">
        <v>0</v>
      </c>
      <c r="K14" s="54">
        <v>0</v>
      </c>
      <c r="L14" s="54">
        <v>18800</v>
      </c>
      <c r="M14" s="54">
        <v>0</v>
      </c>
      <c r="N14" s="54">
        <v>198000</v>
      </c>
      <c r="O14" s="54"/>
      <c r="P14" s="53"/>
      <c r="Q14" s="53"/>
      <c r="R14" s="53"/>
    </row>
    <row r="15" spans="1:18" s="48" customFormat="1" ht="18.75" customHeight="1">
      <c r="A15" s="362"/>
      <c r="B15" s="339" t="s">
        <v>668</v>
      </c>
      <c r="C15" s="54">
        <v>2881000</v>
      </c>
      <c r="D15" s="54">
        <f>F15</f>
        <v>2681000</v>
      </c>
      <c r="E15" s="54"/>
      <c r="F15" s="53">
        <f t="shared" si="1"/>
        <v>2681000</v>
      </c>
      <c r="G15" s="54"/>
      <c r="H15" s="54"/>
      <c r="I15" s="54"/>
      <c r="J15" s="54"/>
      <c r="K15" s="54"/>
      <c r="L15" s="54"/>
      <c r="M15" s="54"/>
      <c r="N15" s="54"/>
      <c r="O15" s="54">
        <v>2681000</v>
      </c>
      <c r="P15" s="53"/>
      <c r="Q15" s="53"/>
      <c r="R15" s="53"/>
    </row>
    <row r="16" spans="1:18" s="48" customFormat="1" ht="18.75" customHeight="1">
      <c r="A16" s="362"/>
      <c r="B16" s="340" t="s">
        <v>56</v>
      </c>
      <c r="C16" s="57">
        <v>3374000</v>
      </c>
      <c r="D16" s="57">
        <f>F16</f>
        <v>3244264.41</v>
      </c>
      <c r="E16" s="57"/>
      <c r="F16" s="53">
        <f t="shared" si="1"/>
        <v>3244264.41</v>
      </c>
      <c r="G16" s="57">
        <v>1533264.41</v>
      </c>
      <c r="H16" s="57">
        <v>0</v>
      </c>
      <c r="I16" s="57">
        <v>1431000</v>
      </c>
      <c r="J16" s="57">
        <v>280000</v>
      </c>
      <c r="K16" s="57"/>
      <c r="L16" s="57"/>
      <c r="M16" s="57"/>
      <c r="N16" s="57"/>
      <c r="O16" s="57"/>
      <c r="P16" s="55"/>
      <c r="Q16" s="55"/>
      <c r="R16" s="55"/>
    </row>
    <row r="17" spans="1:18" s="48" customFormat="1" ht="18.75" customHeight="1" thickBot="1">
      <c r="A17" s="362"/>
      <c r="B17" s="47" t="s">
        <v>252</v>
      </c>
      <c r="C17" s="73">
        <f>SUM(C7:C16)</f>
        <v>37840000</v>
      </c>
      <c r="D17" s="73">
        <f>SUM(D7:D16)</f>
        <v>32459658.55</v>
      </c>
      <c r="E17" s="73">
        <v>319288</v>
      </c>
      <c r="F17" s="74">
        <f>SUM(F7:F16)</f>
        <v>32778946.55</v>
      </c>
      <c r="G17" s="75">
        <f aca="true" t="shared" si="2" ref="G17:L17">SUM(G7:G16)</f>
        <v>10872341.44</v>
      </c>
      <c r="H17" s="75">
        <f t="shared" si="2"/>
        <v>426600.5</v>
      </c>
      <c r="I17" s="76">
        <f t="shared" si="2"/>
        <v>6359700.61</v>
      </c>
      <c r="J17" s="75">
        <f t="shared" si="2"/>
        <v>379600</v>
      </c>
      <c r="K17" s="75">
        <f t="shared" si="2"/>
        <v>48631</v>
      </c>
      <c r="L17" s="75">
        <f t="shared" si="2"/>
        <v>1012049</v>
      </c>
      <c r="M17" s="75">
        <f>SUM(M6:M16)</f>
        <v>27600</v>
      </c>
      <c r="N17" s="75">
        <f>SUM(N6:N16)</f>
        <v>278740</v>
      </c>
      <c r="O17" s="75">
        <f>SUM(O6:O16)</f>
        <v>2681000</v>
      </c>
      <c r="P17" s="75">
        <f>SUM(P6:P16)</f>
        <v>39500</v>
      </c>
      <c r="Q17" s="75"/>
      <c r="R17" s="75">
        <f>SUM(R7:R16)</f>
        <v>10333896</v>
      </c>
    </row>
    <row r="18" spans="1:18" s="48" customFormat="1" ht="18.75" customHeight="1" thickTop="1">
      <c r="A18" s="362"/>
      <c r="B18" s="60" t="s">
        <v>63</v>
      </c>
      <c r="C18" s="71"/>
      <c r="D18" s="71"/>
      <c r="E18" s="71"/>
      <c r="F18" s="69"/>
      <c r="G18" s="72"/>
      <c r="H18" s="72"/>
      <c r="I18" s="69"/>
      <c r="J18" s="72"/>
      <c r="K18" s="72"/>
      <c r="L18" s="72"/>
      <c r="M18" s="72"/>
      <c r="N18" s="72"/>
      <c r="O18" s="72"/>
      <c r="P18" s="72"/>
      <c r="Q18" s="72"/>
      <c r="R18" s="72"/>
    </row>
    <row r="19" spans="2:18" ht="18.75" customHeight="1">
      <c r="B19" s="131" t="s">
        <v>253</v>
      </c>
      <c r="C19" s="70">
        <v>100000</v>
      </c>
      <c r="D19" s="70">
        <v>100000</v>
      </c>
      <c r="E19" s="70"/>
      <c r="F19" s="53">
        <v>170859.24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2:18" ht="18.75" customHeight="1">
      <c r="B20" s="336" t="s">
        <v>254</v>
      </c>
      <c r="C20" s="70">
        <v>500000</v>
      </c>
      <c r="D20" s="70">
        <v>500000</v>
      </c>
      <c r="E20" s="70"/>
      <c r="F20" s="53">
        <v>17429.2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2:18" ht="18.75" customHeight="1">
      <c r="B21" s="337" t="s">
        <v>255</v>
      </c>
      <c r="C21" s="54">
        <v>180000</v>
      </c>
      <c r="D21" s="54">
        <v>180000</v>
      </c>
      <c r="E21" s="54"/>
      <c r="F21" s="53">
        <v>226824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</row>
    <row r="22" spans="2:18" ht="18.75" customHeight="1">
      <c r="B22" s="339" t="s">
        <v>258</v>
      </c>
      <c r="C22" s="54">
        <v>200000</v>
      </c>
      <c r="D22" s="54">
        <v>200000</v>
      </c>
      <c r="E22" s="54"/>
      <c r="F22" s="53">
        <v>329158.99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</row>
    <row r="23" spans="2:18" ht="18.75" customHeight="1">
      <c r="B23" s="339" t="s">
        <v>256</v>
      </c>
      <c r="C23" s="54">
        <v>20000</v>
      </c>
      <c r="D23" s="54">
        <v>20000</v>
      </c>
      <c r="E23" s="54"/>
      <c r="F23" s="53">
        <v>57443.36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</row>
    <row r="24" spans="2:18" ht="18.75" customHeight="1">
      <c r="B24" s="339" t="s">
        <v>257</v>
      </c>
      <c r="C24" s="54">
        <v>0</v>
      </c>
      <c r="D24" s="54">
        <v>0</v>
      </c>
      <c r="E24" s="54"/>
      <c r="F24" s="53">
        <v>0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2:18" ht="18.75" customHeight="1">
      <c r="B25" s="339" t="s">
        <v>168</v>
      </c>
      <c r="C25" s="54">
        <v>13100000</v>
      </c>
      <c r="D25" s="54">
        <v>13100000</v>
      </c>
      <c r="E25" s="54"/>
      <c r="F25" s="53">
        <v>19357467.01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</row>
    <row r="26" spans="2:18" ht="18.75" customHeight="1">
      <c r="B26" s="339" t="s">
        <v>169</v>
      </c>
      <c r="C26" s="54">
        <v>23740000</v>
      </c>
      <c r="D26" s="54">
        <v>23740000</v>
      </c>
      <c r="E26" s="54"/>
      <c r="F26" s="53">
        <v>22318297</v>
      </c>
      <c r="G26" s="54"/>
      <c r="H26" s="54"/>
      <c r="I26" s="54"/>
      <c r="J26" s="54"/>
      <c r="K26" s="54"/>
      <c r="L26" s="54"/>
      <c r="M26" s="54"/>
      <c r="N26" s="54"/>
      <c r="O26" s="54"/>
      <c r="P26" s="53"/>
      <c r="Q26" s="53"/>
      <c r="R26" s="53"/>
    </row>
    <row r="27" spans="2:18" ht="18.75" customHeight="1">
      <c r="B27" s="337" t="s">
        <v>259</v>
      </c>
      <c r="C27" s="54"/>
      <c r="D27" s="54"/>
      <c r="E27" s="54">
        <v>319288</v>
      </c>
      <c r="F27" s="53">
        <v>319288</v>
      </c>
      <c r="G27" s="54"/>
      <c r="H27" s="54"/>
      <c r="I27" s="54"/>
      <c r="J27" s="54"/>
      <c r="K27" s="54"/>
      <c r="L27" s="54"/>
      <c r="M27" s="54"/>
      <c r="N27" s="54"/>
      <c r="O27" s="54"/>
      <c r="P27" s="53"/>
      <c r="Q27" s="53"/>
      <c r="R27" s="53"/>
    </row>
    <row r="28" spans="2:18" ht="18.75" customHeight="1" thickBot="1">
      <c r="B28" s="51" t="s">
        <v>69</v>
      </c>
      <c r="C28" s="78">
        <f aca="true" t="shared" si="3" ref="C28:R28">SUM(C19:C27)</f>
        <v>37840000</v>
      </c>
      <c r="D28" s="78">
        <f>SUM(D19:D27)</f>
        <v>37840000</v>
      </c>
      <c r="E28" s="78">
        <v>319288</v>
      </c>
      <c r="F28" s="77">
        <f t="shared" si="3"/>
        <v>42796766.8</v>
      </c>
      <c r="G28" s="77">
        <f t="shared" si="3"/>
        <v>0</v>
      </c>
      <c r="H28" s="77">
        <f t="shared" si="3"/>
        <v>0</v>
      </c>
      <c r="I28" s="77">
        <f t="shared" si="3"/>
        <v>0</v>
      </c>
      <c r="J28" s="77">
        <f t="shared" si="3"/>
        <v>0</v>
      </c>
      <c r="K28" s="77">
        <f t="shared" si="3"/>
        <v>0</v>
      </c>
      <c r="L28" s="77">
        <f t="shared" si="3"/>
        <v>0</v>
      </c>
      <c r="M28" s="77">
        <f t="shared" si="3"/>
        <v>0</v>
      </c>
      <c r="N28" s="77">
        <f t="shared" si="3"/>
        <v>0</v>
      </c>
      <c r="O28" s="77">
        <f t="shared" si="3"/>
        <v>0</v>
      </c>
      <c r="P28" s="77">
        <f t="shared" si="3"/>
        <v>0</v>
      </c>
      <c r="Q28" s="77">
        <f t="shared" si="3"/>
        <v>0</v>
      </c>
      <c r="R28" s="77">
        <f t="shared" si="3"/>
        <v>0</v>
      </c>
    </row>
    <row r="29" spans="2:6" ht="21" thickBot="1" thickTop="1">
      <c r="B29" s="61" t="s">
        <v>260</v>
      </c>
      <c r="F29" s="112">
        <f>+F28-F17</f>
        <v>10017820.249999996</v>
      </c>
    </row>
    <row r="30" spans="2:6" ht="20.25" thickTop="1">
      <c r="B30" s="61"/>
      <c r="F30" s="341"/>
    </row>
    <row r="31" spans="2:6" ht="19.5">
      <c r="B31" s="61"/>
      <c r="F31" s="341"/>
    </row>
    <row r="37" spans="2:15" ht="23.25">
      <c r="B37" s="52"/>
      <c r="D37" s="394" t="s">
        <v>660</v>
      </c>
      <c r="I37" s="394" t="s">
        <v>662</v>
      </c>
      <c r="O37" s="394" t="s">
        <v>663</v>
      </c>
    </row>
    <row r="38" spans="4:15" ht="23.25">
      <c r="D38" s="394" t="s">
        <v>661</v>
      </c>
      <c r="I38" s="394" t="s">
        <v>657</v>
      </c>
      <c r="O38" s="394" t="s">
        <v>658</v>
      </c>
    </row>
    <row r="40" spans="2:18" ht="19.5">
      <c r="B40" s="441" t="s">
        <v>376</v>
      </c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</row>
    <row r="41" spans="2:18" ht="19.5">
      <c r="B41" s="441" t="s">
        <v>135</v>
      </c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</row>
    <row r="42" spans="2:18" ht="19.5">
      <c r="B42" s="441" t="s">
        <v>651</v>
      </c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</row>
    <row r="43" spans="2:18" ht="23.25" customHeight="1">
      <c r="B43" s="442" t="s">
        <v>62</v>
      </c>
      <c r="C43" s="438" t="s">
        <v>59</v>
      </c>
      <c r="D43" s="443" t="s">
        <v>670</v>
      </c>
      <c r="E43" s="364" t="s">
        <v>582</v>
      </c>
      <c r="F43" s="440" t="s">
        <v>196</v>
      </c>
      <c r="G43" s="442" t="s">
        <v>198</v>
      </c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</row>
    <row r="44" spans="2:18" ht="72">
      <c r="B44" s="442"/>
      <c r="C44" s="442"/>
      <c r="D44" s="442"/>
      <c r="E44" s="334" t="s">
        <v>664</v>
      </c>
      <c r="F44" s="440"/>
      <c r="G44" s="44" t="s">
        <v>239</v>
      </c>
      <c r="H44" s="44" t="s">
        <v>240</v>
      </c>
      <c r="I44" s="365" t="s">
        <v>241</v>
      </c>
      <c r="J44" s="44" t="s">
        <v>249</v>
      </c>
      <c r="K44" s="44" t="s">
        <v>242</v>
      </c>
      <c r="L44" s="44" t="s">
        <v>243</v>
      </c>
      <c r="M44" s="278" t="s">
        <v>244</v>
      </c>
      <c r="N44" s="333" t="s">
        <v>245</v>
      </c>
      <c r="O44" s="44" t="s">
        <v>246</v>
      </c>
      <c r="P44" s="44" t="s">
        <v>247</v>
      </c>
      <c r="Q44" s="371" t="s">
        <v>248</v>
      </c>
      <c r="R44" s="46" t="s">
        <v>154</v>
      </c>
    </row>
    <row r="45" spans="2:18" ht="19.5">
      <c r="B45" s="59" t="s">
        <v>64</v>
      </c>
      <c r="C45" s="62"/>
      <c r="D45" s="62"/>
      <c r="E45" s="62"/>
      <c r="F45" s="65"/>
      <c r="G45" s="64"/>
      <c r="H45" s="64"/>
      <c r="I45" s="63"/>
      <c r="J45" s="64"/>
      <c r="K45" s="64"/>
      <c r="L45" s="64"/>
      <c r="M45" s="64"/>
      <c r="N45" s="64"/>
      <c r="O45" s="64"/>
      <c r="P45" s="64"/>
      <c r="Q45" s="64"/>
      <c r="R45" s="64"/>
    </row>
    <row r="46" spans="2:18" ht="19.5">
      <c r="B46" s="338" t="s">
        <v>154</v>
      </c>
      <c r="C46" s="185">
        <v>10859300</v>
      </c>
      <c r="D46" s="185">
        <f aca="true" t="shared" si="4" ref="D46:D52">F46</f>
        <v>10333896</v>
      </c>
      <c r="E46" s="66"/>
      <c r="F46" s="53">
        <f aca="true" t="shared" si="5" ref="F46:F52">SUM(G46:R46)</f>
        <v>10333896</v>
      </c>
      <c r="G46" s="68"/>
      <c r="H46" s="68"/>
      <c r="I46" s="67"/>
      <c r="J46" s="68"/>
      <c r="K46" s="68"/>
      <c r="L46" s="68"/>
      <c r="M46" s="68"/>
      <c r="N46" s="68"/>
      <c r="O46" s="68"/>
      <c r="P46" s="68"/>
      <c r="Q46" s="68"/>
      <c r="R46" s="68">
        <f>10333896</f>
        <v>10333896</v>
      </c>
    </row>
    <row r="47" spans="2:18" ht="19.5">
      <c r="B47" s="131" t="s">
        <v>217</v>
      </c>
      <c r="C47" s="70">
        <v>3607920</v>
      </c>
      <c r="D47" s="70">
        <f t="shared" si="4"/>
        <v>3607920</v>
      </c>
      <c r="E47" s="70"/>
      <c r="F47" s="53">
        <f t="shared" si="5"/>
        <v>3607920</v>
      </c>
      <c r="G47" s="53">
        <v>3607920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</row>
    <row r="48" spans="2:18" ht="19.5">
      <c r="B48" s="131" t="s">
        <v>218</v>
      </c>
      <c r="C48" s="70">
        <v>7381000</v>
      </c>
      <c r="D48" s="70">
        <f t="shared" si="4"/>
        <v>5238045.5</v>
      </c>
      <c r="E48" s="70"/>
      <c r="F48" s="53">
        <f t="shared" si="5"/>
        <v>5238045.5</v>
      </c>
      <c r="G48" s="53">
        <f>2634875+173978</f>
        <v>2808853</v>
      </c>
      <c r="H48" s="53">
        <v>296520</v>
      </c>
      <c r="I48" s="53">
        <v>1875812.5</v>
      </c>
      <c r="J48" s="53">
        <v>0</v>
      </c>
      <c r="K48" s="53">
        <v>0</v>
      </c>
      <c r="L48" s="53">
        <v>256860</v>
      </c>
      <c r="M48" s="53"/>
      <c r="N48" s="53"/>
      <c r="O48" s="53"/>
      <c r="P48" s="53"/>
      <c r="Q48" s="53"/>
      <c r="R48" s="53"/>
    </row>
    <row r="49" spans="2:18" ht="19.5">
      <c r="B49" s="339" t="s">
        <v>149</v>
      </c>
      <c r="C49" s="54">
        <v>625000</v>
      </c>
      <c r="D49" s="54">
        <f t="shared" si="4"/>
        <v>344200</v>
      </c>
      <c r="E49" s="54"/>
      <c r="F49" s="53">
        <f t="shared" si="5"/>
        <v>344200</v>
      </c>
      <c r="G49" s="53">
        <v>254750</v>
      </c>
      <c r="H49" s="53">
        <v>0</v>
      </c>
      <c r="I49" s="53">
        <v>44400</v>
      </c>
      <c r="J49" s="53">
        <v>0</v>
      </c>
      <c r="K49" s="53">
        <v>0</v>
      </c>
      <c r="L49" s="53">
        <v>45050</v>
      </c>
      <c r="M49" s="53"/>
      <c r="N49" s="53"/>
      <c r="O49" s="53"/>
      <c r="P49" s="53"/>
      <c r="Q49" s="53"/>
      <c r="R49" s="53"/>
    </row>
    <row r="50" spans="2:18" ht="19.5">
      <c r="B50" s="342" t="s">
        <v>150</v>
      </c>
      <c r="C50" s="54">
        <v>4271400</v>
      </c>
      <c r="D50" s="54">
        <f t="shared" si="4"/>
        <v>2863459.77</v>
      </c>
      <c r="E50" s="54"/>
      <c r="F50" s="53">
        <f t="shared" si="5"/>
        <v>2863459.77</v>
      </c>
      <c r="G50" s="53">
        <v>1046239.77</v>
      </c>
      <c r="H50" s="53">
        <v>109525</v>
      </c>
      <c r="I50" s="53">
        <v>1115522</v>
      </c>
      <c r="J50" s="53">
        <v>0</v>
      </c>
      <c r="K50" s="53">
        <v>0</v>
      </c>
      <c r="L50" s="53">
        <v>476333</v>
      </c>
      <c r="M50" s="53">
        <v>27600</v>
      </c>
      <c r="N50" s="53">
        <v>48740</v>
      </c>
      <c r="O50" s="53">
        <v>0</v>
      </c>
      <c r="P50" s="53">
        <v>39500</v>
      </c>
      <c r="Q50" s="53"/>
      <c r="R50" s="53"/>
    </row>
    <row r="51" spans="2:18" ht="19.5">
      <c r="B51" s="342" t="s">
        <v>151</v>
      </c>
      <c r="C51" s="54">
        <v>3027680</v>
      </c>
      <c r="D51" s="54">
        <f t="shared" si="4"/>
        <v>2528222.18</v>
      </c>
      <c r="E51" s="54"/>
      <c r="F51" s="53">
        <f t="shared" si="5"/>
        <v>2528222.18</v>
      </c>
      <c r="G51" s="53">
        <v>452037.6</v>
      </c>
      <c r="H51" s="53">
        <v>20555.5</v>
      </c>
      <c r="I51" s="53">
        <v>1660392.08</v>
      </c>
      <c r="J51" s="53">
        <v>99600</v>
      </c>
      <c r="K51" s="53">
        <v>48631</v>
      </c>
      <c r="L51" s="53">
        <v>215006</v>
      </c>
      <c r="M51" s="53">
        <v>0</v>
      </c>
      <c r="N51" s="53">
        <v>32000</v>
      </c>
      <c r="O51" s="53"/>
      <c r="P51" s="53"/>
      <c r="Q51" s="53"/>
      <c r="R51" s="53"/>
    </row>
    <row r="52" spans="2:18" ht="19.5">
      <c r="B52" s="339" t="s">
        <v>220</v>
      </c>
      <c r="C52" s="54">
        <v>587000</v>
      </c>
      <c r="D52" s="54">
        <f t="shared" si="4"/>
        <v>428630.68999999994</v>
      </c>
      <c r="E52" s="54"/>
      <c r="F52" s="53">
        <f t="shared" si="5"/>
        <v>428630.68999999994</v>
      </c>
      <c r="G52" s="53">
        <v>337316.66</v>
      </c>
      <c r="H52" s="53">
        <v>0</v>
      </c>
      <c r="I52" s="53">
        <v>91314.03</v>
      </c>
      <c r="J52" s="53"/>
      <c r="K52" s="53"/>
      <c r="L52" s="53"/>
      <c r="M52" s="53"/>
      <c r="N52" s="53"/>
      <c r="O52" s="53"/>
      <c r="P52" s="53"/>
      <c r="Q52" s="53"/>
      <c r="R52" s="53"/>
    </row>
    <row r="53" spans="2:18" ht="19.5">
      <c r="B53" s="342" t="s">
        <v>250</v>
      </c>
      <c r="C53" s="54">
        <v>1225700</v>
      </c>
      <c r="D53" s="54">
        <f>1190020</f>
        <v>1190020</v>
      </c>
      <c r="E53" s="54"/>
      <c r="F53" s="53">
        <f>SUM(G53:R53)+E53</f>
        <v>1190020</v>
      </c>
      <c r="G53" s="54">
        <v>831960</v>
      </c>
      <c r="H53" s="54">
        <v>0</v>
      </c>
      <c r="I53" s="54">
        <v>141260</v>
      </c>
      <c r="J53" s="54">
        <v>0</v>
      </c>
      <c r="K53" s="54">
        <v>0</v>
      </c>
      <c r="L53" s="54">
        <v>18800</v>
      </c>
      <c r="M53" s="54">
        <v>0</v>
      </c>
      <c r="N53" s="54">
        <v>198000</v>
      </c>
      <c r="O53" s="54"/>
      <c r="P53" s="53"/>
      <c r="Q53" s="53"/>
      <c r="R53" s="53"/>
    </row>
    <row r="54" spans="2:18" ht="19.5">
      <c r="B54" s="339" t="s">
        <v>668</v>
      </c>
      <c r="C54" s="54">
        <v>2881000</v>
      </c>
      <c r="D54" s="54">
        <f>F54</f>
        <v>2681000</v>
      </c>
      <c r="E54" s="54"/>
      <c r="F54" s="53">
        <f>SUM(G54:R54)</f>
        <v>2681000</v>
      </c>
      <c r="G54" s="54"/>
      <c r="H54" s="54"/>
      <c r="I54" s="54"/>
      <c r="J54" s="54"/>
      <c r="K54" s="54"/>
      <c r="L54" s="54"/>
      <c r="M54" s="54"/>
      <c r="N54" s="54"/>
      <c r="O54" s="54">
        <v>2681000</v>
      </c>
      <c r="P54" s="53"/>
      <c r="Q54" s="53"/>
      <c r="R54" s="53"/>
    </row>
    <row r="55" spans="2:18" ht="19.5">
      <c r="B55" s="340" t="s">
        <v>56</v>
      </c>
      <c r="C55" s="57">
        <v>3374000</v>
      </c>
      <c r="D55" s="57">
        <f>F55</f>
        <v>3563552.41</v>
      </c>
      <c r="E55" s="57">
        <v>319288</v>
      </c>
      <c r="F55" s="53">
        <f>SUM(G55:R55)+E55</f>
        <v>3563552.41</v>
      </c>
      <c r="G55" s="57">
        <v>1533264.41</v>
      </c>
      <c r="H55" s="57">
        <v>0</v>
      </c>
      <c r="I55" s="57">
        <v>1431000</v>
      </c>
      <c r="J55" s="57">
        <v>280000</v>
      </c>
      <c r="K55" s="57"/>
      <c r="L55" s="57"/>
      <c r="M55" s="57"/>
      <c r="N55" s="57"/>
      <c r="O55" s="57"/>
      <c r="P55" s="55"/>
      <c r="Q55" s="55"/>
      <c r="R55" s="55"/>
    </row>
    <row r="56" spans="2:18" ht="20.25" thickBot="1">
      <c r="B56" s="364" t="s">
        <v>252</v>
      </c>
      <c r="C56" s="73">
        <f>SUM(C46:C55)</f>
        <v>37840000</v>
      </c>
      <c r="D56" s="73">
        <f>SUM(D46:D55)</f>
        <v>32778946.55</v>
      </c>
      <c r="E56" s="73">
        <v>319288</v>
      </c>
      <c r="F56" s="74">
        <f>SUM(F46:F55)</f>
        <v>32778946.55</v>
      </c>
      <c r="G56" s="75">
        <f aca="true" t="shared" si="6" ref="G56:L56">SUM(G46:G55)</f>
        <v>10872341.44</v>
      </c>
      <c r="H56" s="75">
        <f t="shared" si="6"/>
        <v>426600.5</v>
      </c>
      <c r="I56" s="76">
        <f t="shared" si="6"/>
        <v>6359700.61</v>
      </c>
      <c r="J56" s="75">
        <f t="shared" si="6"/>
        <v>379600</v>
      </c>
      <c r="K56" s="75">
        <f t="shared" si="6"/>
        <v>48631</v>
      </c>
      <c r="L56" s="75">
        <f t="shared" si="6"/>
        <v>1012049</v>
      </c>
      <c r="M56" s="75">
        <f>SUM(M45:M55)</f>
        <v>27600</v>
      </c>
      <c r="N56" s="75">
        <f>SUM(N45:N55)</f>
        <v>278740</v>
      </c>
      <c r="O56" s="75">
        <f>SUM(O45:O55)</f>
        <v>2681000</v>
      </c>
      <c r="P56" s="75">
        <f>SUM(P45:P55)</f>
        <v>39500</v>
      </c>
      <c r="Q56" s="75"/>
      <c r="R56" s="75">
        <f>SUM(R46:R55)</f>
        <v>10333896</v>
      </c>
    </row>
    <row r="57" spans="2:18" ht="20.25" thickTop="1">
      <c r="B57" s="60" t="s">
        <v>63</v>
      </c>
      <c r="C57" s="71"/>
      <c r="D57" s="71"/>
      <c r="E57" s="71"/>
      <c r="F57" s="69"/>
      <c r="G57" s="72"/>
      <c r="H57" s="72"/>
      <c r="I57" s="69"/>
      <c r="J57" s="72"/>
      <c r="K57" s="72"/>
      <c r="L57" s="72"/>
      <c r="M57" s="72"/>
      <c r="N57" s="72"/>
      <c r="O57" s="72"/>
      <c r="P57" s="72"/>
      <c r="Q57" s="72"/>
      <c r="R57" s="72"/>
    </row>
    <row r="58" spans="2:18" ht="19.5">
      <c r="B58" s="131" t="s">
        <v>253</v>
      </c>
      <c r="C58" s="70">
        <v>100000</v>
      </c>
      <c r="D58" s="70">
        <v>100000</v>
      </c>
      <c r="E58" s="70"/>
      <c r="F58" s="53">
        <v>170859.24</v>
      </c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2:18" ht="19.5">
      <c r="B59" s="336" t="s">
        <v>254</v>
      </c>
      <c r="C59" s="70">
        <v>500000</v>
      </c>
      <c r="D59" s="70">
        <v>500000</v>
      </c>
      <c r="E59" s="70"/>
      <c r="F59" s="53">
        <v>17429.2</v>
      </c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</row>
    <row r="60" spans="2:18" ht="19.5">
      <c r="B60" s="337" t="s">
        <v>255</v>
      </c>
      <c r="C60" s="54">
        <v>180000</v>
      </c>
      <c r="D60" s="54">
        <v>180000</v>
      </c>
      <c r="E60" s="54"/>
      <c r="F60" s="53">
        <v>226824</v>
      </c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spans="2:18" ht="19.5">
      <c r="B61" s="339" t="s">
        <v>258</v>
      </c>
      <c r="C61" s="54">
        <v>200000</v>
      </c>
      <c r="D61" s="54">
        <v>200000</v>
      </c>
      <c r="E61" s="54"/>
      <c r="F61" s="53">
        <v>329158.99</v>
      </c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</row>
    <row r="62" spans="2:18" ht="19.5">
      <c r="B62" s="339" t="s">
        <v>256</v>
      </c>
      <c r="C62" s="54">
        <v>20000</v>
      </c>
      <c r="D62" s="54">
        <v>20000</v>
      </c>
      <c r="E62" s="54"/>
      <c r="F62" s="53">
        <v>57443.36</v>
      </c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spans="2:18" ht="19.5">
      <c r="B63" s="339" t="s">
        <v>257</v>
      </c>
      <c r="C63" s="54">
        <v>0</v>
      </c>
      <c r="D63" s="54">
        <v>0</v>
      </c>
      <c r="E63" s="54"/>
      <c r="F63" s="53">
        <v>0</v>
      </c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2:18" ht="19.5">
      <c r="B64" s="339" t="s">
        <v>168</v>
      </c>
      <c r="C64" s="54">
        <v>13100000</v>
      </c>
      <c r="D64" s="54">
        <v>13100000</v>
      </c>
      <c r="E64" s="54"/>
      <c r="F64" s="53">
        <v>19357467.01</v>
      </c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2:18" ht="19.5">
      <c r="B65" s="339" t="s">
        <v>169</v>
      </c>
      <c r="C65" s="54">
        <v>23740000</v>
      </c>
      <c r="D65" s="54">
        <v>23740000</v>
      </c>
      <c r="E65" s="54"/>
      <c r="F65" s="53">
        <v>22318297</v>
      </c>
      <c r="G65" s="54"/>
      <c r="H65" s="54"/>
      <c r="I65" s="54"/>
      <c r="J65" s="54"/>
      <c r="K65" s="54"/>
      <c r="L65" s="54"/>
      <c r="M65" s="54"/>
      <c r="N65" s="54"/>
      <c r="O65" s="54"/>
      <c r="P65" s="53"/>
      <c r="Q65" s="53"/>
      <c r="R65" s="53"/>
    </row>
    <row r="66" spans="2:18" ht="19.5">
      <c r="B66" s="339" t="s">
        <v>259</v>
      </c>
      <c r="C66" s="54"/>
      <c r="D66" s="54"/>
      <c r="E66" s="54">
        <v>319288</v>
      </c>
      <c r="F66" s="53">
        <v>319288</v>
      </c>
      <c r="G66" s="54"/>
      <c r="H66" s="54"/>
      <c r="I66" s="54"/>
      <c r="J66" s="54"/>
      <c r="K66" s="54"/>
      <c r="L66" s="54"/>
      <c r="M66" s="54"/>
      <c r="N66" s="54"/>
      <c r="O66" s="54"/>
      <c r="P66" s="53"/>
      <c r="Q66" s="53"/>
      <c r="R66" s="53"/>
    </row>
    <row r="67" spans="2:18" ht="21" thickBot="1">
      <c r="B67" s="363" t="s">
        <v>69</v>
      </c>
      <c r="C67" s="78">
        <f>SUM(C58:C66)</f>
        <v>37840000</v>
      </c>
      <c r="D67" s="78">
        <f>SUM(D58:D66)</f>
        <v>37840000</v>
      </c>
      <c r="E67" s="78">
        <v>319288</v>
      </c>
      <c r="F67" s="77">
        <f aca="true" t="shared" si="7" ref="F67:R67">SUM(F58:F66)</f>
        <v>42796766.8</v>
      </c>
      <c r="G67" s="77">
        <f t="shared" si="7"/>
        <v>0</v>
      </c>
      <c r="H67" s="77">
        <f t="shared" si="7"/>
        <v>0</v>
      </c>
      <c r="I67" s="77">
        <f t="shared" si="7"/>
        <v>0</v>
      </c>
      <c r="J67" s="77">
        <f t="shared" si="7"/>
        <v>0</v>
      </c>
      <c r="K67" s="77">
        <f t="shared" si="7"/>
        <v>0</v>
      </c>
      <c r="L67" s="77">
        <f t="shared" si="7"/>
        <v>0</v>
      </c>
      <c r="M67" s="77">
        <f t="shared" si="7"/>
        <v>0</v>
      </c>
      <c r="N67" s="77">
        <f t="shared" si="7"/>
        <v>0</v>
      </c>
      <c r="O67" s="77">
        <f t="shared" si="7"/>
        <v>0</v>
      </c>
      <c r="P67" s="77">
        <f t="shared" si="7"/>
        <v>0</v>
      </c>
      <c r="Q67" s="77">
        <f t="shared" si="7"/>
        <v>0</v>
      </c>
      <c r="R67" s="77">
        <f t="shared" si="7"/>
        <v>0</v>
      </c>
    </row>
    <row r="68" spans="2:6" ht="21" thickBot="1" thickTop="1">
      <c r="B68" s="61" t="s">
        <v>260</v>
      </c>
      <c r="F68" s="112">
        <f>+F67-F56</f>
        <v>10017820.249999996</v>
      </c>
    </row>
    <row r="69" ht="20.25" thickTop="1">
      <c r="B69" s="1" t="s">
        <v>659</v>
      </c>
    </row>
    <row r="72" spans="2:15" ht="19.5">
      <c r="B72" s="52"/>
      <c r="D72" s="1" t="s">
        <v>660</v>
      </c>
      <c r="I72" s="1" t="s">
        <v>662</v>
      </c>
      <c r="O72" s="1" t="s">
        <v>663</v>
      </c>
    </row>
    <row r="73" spans="4:15" ht="19.5">
      <c r="D73" s="1" t="s">
        <v>661</v>
      </c>
      <c r="I73" s="1" t="s">
        <v>657</v>
      </c>
      <c r="O73" s="1" t="s">
        <v>658</v>
      </c>
    </row>
    <row r="74" spans="2:18" ht="23.25">
      <c r="B74" s="444" t="str">
        <f>+งบแสดงฐานะการเงิน!A87</f>
        <v>องค์การบริหารส่วนตำบลคอกควาย</v>
      </c>
      <c r="C74" s="444"/>
      <c r="D74" s="444"/>
      <c r="E74" s="444"/>
      <c r="F74" s="444"/>
      <c r="G74" s="444"/>
      <c r="H74" s="444"/>
      <c r="I74" s="444"/>
      <c r="J74" s="444"/>
      <c r="K74" s="444"/>
      <c r="L74" s="444"/>
      <c r="M74" s="444"/>
      <c r="N74" s="444"/>
      <c r="O74" s="444"/>
      <c r="P74" s="444"/>
      <c r="Q74" s="444"/>
      <c r="R74" s="444"/>
    </row>
    <row r="75" spans="2:18" ht="23.25">
      <c r="B75" s="444" t="s">
        <v>135</v>
      </c>
      <c r="C75" s="444"/>
      <c r="D75" s="444"/>
      <c r="E75" s="444"/>
      <c r="F75" s="444"/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4"/>
      <c r="R75" s="444"/>
    </row>
    <row r="76" spans="2:18" ht="19.5">
      <c r="B76" s="441" t="s">
        <v>387</v>
      </c>
      <c r="C76" s="441"/>
      <c r="D76" s="441"/>
      <c r="E76" s="441"/>
      <c r="F76" s="441"/>
      <c r="G76" s="441"/>
      <c r="H76" s="441"/>
      <c r="I76" s="441"/>
      <c r="J76" s="441"/>
      <c r="K76" s="441"/>
      <c r="L76" s="441"/>
      <c r="M76" s="441"/>
      <c r="N76" s="441"/>
      <c r="O76" s="441"/>
      <c r="P76" s="441"/>
      <c r="Q76" s="441"/>
      <c r="R76" s="441"/>
    </row>
    <row r="77" ht="12.75" customHeight="1"/>
    <row r="78" spans="2:18" ht="19.5">
      <c r="B78" s="436" t="s">
        <v>62</v>
      </c>
      <c r="C78" s="436" t="s">
        <v>59</v>
      </c>
      <c r="D78" s="436" t="s">
        <v>59</v>
      </c>
      <c r="E78" s="328"/>
      <c r="F78" s="436" t="s">
        <v>196</v>
      </c>
      <c r="G78" s="438" t="s">
        <v>198</v>
      </c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40"/>
    </row>
    <row r="79" spans="2:18" ht="99">
      <c r="B79" s="437"/>
      <c r="C79" s="437"/>
      <c r="D79" s="437"/>
      <c r="E79" s="329"/>
      <c r="F79" s="437"/>
      <c r="G79" s="44" t="s">
        <v>239</v>
      </c>
      <c r="H79" s="44" t="s">
        <v>240</v>
      </c>
      <c r="I79" s="45" t="s">
        <v>241</v>
      </c>
      <c r="J79" s="44" t="s">
        <v>249</v>
      </c>
      <c r="K79" s="44" t="s">
        <v>242</v>
      </c>
      <c r="L79" s="44" t="s">
        <v>243</v>
      </c>
      <c r="M79" s="44" t="s">
        <v>244</v>
      </c>
      <c r="N79" s="44" t="s">
        <v>245</v>
      </c>
      <c r="O79" s="44" t="s">
        <v>246</v>
      </c>
      <c r="P79" s="44" t="s">
        <v>247</v>
      </c>
      <c r="Q79" s="44" t="s">
        <v>248</v>
      </c>
      <c r="R79" s="46" t="s">
        <v>154</v>
      </c>
    </row>
    <row r="80" spans="2:18" ht="19.5">
      <c r="B80" s="59" t="s">
        <v>64</v>
      </c>
      <c r="C80" s="62"/>
      <c r="D80" s="62"/>
      <c r="E80" s="62"/>
      <c r="F80" s="65"/>
      <c r="G80" s="64"/>
      <c r="H80" s="64"/>
      <c r="I80" s="63"/>
      <c r="J80" s="64"/>
      <c r="K80" s="64"/>
      <c r="L80" s="64"/>
      <c r="M80" s="64"/>
      <c r="N80" s="64"/>
      <c r="O80" s="64"/>
      <c r="P80" s="64"/>
      <c r="Q80" s="64"/>
      <c r="R80" s="64"/>
    </row>
    <row r="81" spans="2:18" ht="19.5">
      <c r="B81" s="58" t="s">
        <v>154</v>
      </c>
      <c r="C81" s="66">
        <v>667994</v>
      </c>
      <c r="D81" s="66">
        <v>667994</v>
      </c>
      <c r="E81" s="66"/>
      <c r="F81" s="53">
        <f aca="true" t="shared" si="8" ref="F81:F91">SUM(G81:R81)</f>
        <v>532071</v>
      </c>
      <c r="G81" s="68"/>
      <c r="H81" s="68"/>
      <c r="I81" s="67"/>
      <c r="J81" s="68"/>
      <c r="K81" s="68"/>
      <c r="L81" s="68"/>
      <c r="M81" s="68"/>
      <c r="N81" s="68"/>
      <c r="O81" s="68"/>
      <c r="P81" s="68"/>
      <c r="Q81" s="68"/>
      <c r="R81" s="68">
        <f>155000+20000+118200+142700+60171+36000</f>
        <v>532071</v>
      </c>
    </row>
    <row r="82" spans="2:18" ht="19.5">
      <c r="B82" s="49" t="s">
        <v>217</v>
      </c>
      <c r="C82" s="70">
        <v>3607920</v>
      </c>
      <c r="D82" s="70">
        <v>3607920</v>
      </c>
      <c r="E82" s="70"/>
      <c r="F82" s="53">
        <f t="shared" si="8"/>
        <v>514080</v>
      </c>
      <c r="G82" s="53">
        <f>514080</f>
        <v>514080</v>
      </c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</row>
    <row r="83" spans="2:18" ht="19.5">
      <c r="B83" s="49" t="s">
        <v>218</v>
      </c>
      <c r="C83" s="70">
        <v>5019060</v>
      </c>
      <c r="D83" s="70">
        <v>5019060</v>
      </c>
      <c r="E83" s="70"/>
      <c r="F83" s="53">
        <f t="shared" si="8"/>
        <v>3524551</v>
      </c>
      <c r="G83" s="53">
        <f>1084170+176400+457195+61435+271170+29863+4258+220850+10500+225290+34250</f>
        <v>2575381</v>
      </c>
      <c r="H83" s="53"/>
      <c r="I83" s="53">
        <f>147540+11880+182870+20000</f>
        <v>362290</v>
      </c>
      <c r="J83" s="53"/>
      <c r="K83" s="53">
        <f>91680+119370+22500</f>
        <v>233550</v>
      </c>
      <c r="L83" s="53">
        <f>308538+15296</f>
        <v>323834</v>
      </c>
      <c r="M83" s="53"/>
      <c r="N83" s="53"/>
      <c r="O83" s="53"/>
      <c r="P83" s="53">
        <f>4788+24708</f>
        <v>29496</v>
      </c>
      <c r="Q83" s="53"/>
      <c r="R83" s="53"/>
    </row>
    <row r="84" spans="2:18" ht="19.5">
      <c r="B84" s="50" t="s">
        <v>149</v>
      </c>
      <c r="C84" s="54">
        <v>989300</v>
      </c>
      <c r="D84" s="54">
        <v>989300</v>
      </c>
      <c r="E84" s="54"/>
      <c r="F84" s="53">
        <f t="shared" si="8"/>
        <v>251151</v>
      </c>
      <c r="G84" s="53">
        <f>111600+12100+36000+31944</f>
        <v>191644</v>
      </c>
      <c r="H84" s="53"/>
      <c r="I84" s="53">
        <f>18000+3807</f>
        <v>21807</v>
      </c>
      <c r="J84" s="53"/>
      <c r="K84" s="53"/>
      <c r="L84" s="53">
        <f>8900+28800</f>
        <v>37700</v>
      </c>
      <c r="M84" s="53"/>
      <c r="N84" s="53"/>
      <c r="O84" s="53"/>
      <c r="P84" s="53"/>
      <c r="Q84" s="53"/>
      <c r="R84" s="53"/>
    </row>
    <row r="85" spans="2:18" ht="19.5">
      <c r="B85" s="50" t="s">
        <v>150</v>
      </c>
      <c r="C85" s="54">
        <v>5575406</v>
      </c>
      <c r="D85" s="54">
        <v>5575406</v>
      </c>
      <c r="E85" s="54"/>
      <c r="F85" s="53">
        <f t="shared" si="8"/>
        <v>3685378.0700000003</v>
      </c>
      <c r="G85" s="53">
        <f>104660+1600+2621.5+2642+50210+173858.5+57240+129770+500+278790+79973+3769+2670+200374.07</f>
        <v>1088678.07</v>
      </c>
      <c r="H85" s="53">
        <f>9000</f>
        <v>9000</v>
      </c>
      <c r="I85" s="53">
        <f>100540+18896+43479+40000+45815+661160</f>
        <v>909890</v>
      </c>
      <c r="J85" s="53"/>
      <c r="K85" s="53">
        <f>940</f>
        <v>940</v>
      </c>
      <c r="L85" s="53">
        <f>111470+46500+21000+1118000</f>
        <v>1296970</v>
      </c>
      <c r="M85" s="53"/>
      <c r="N85" s="53">
        <f>78300+48000+50000+50000+24500+50000+30500</f>
        <v>331300</v>
      </c>
      <c r="O85" s="53"/>
      <c r="P85" s="53">
        <f>30000+18600</f>
        <v>48600</v>
      </c>
      <c r="Q85" s="53"/>
      <c r="R85" s="53"/>
    </row>
    <row r="86" spans="2:18" ht="19.5">
      <c r="B86" s="50" t="s">
        <v>151</v>
      </c>
      <c r="C86" s="54">
        <v>3701220</v>
      </c>
      <c r="D86" s="54">
        <v>3701220</v>
      </c>
      <c r="E86" s="54"/>
      <c r="F86" s="53">
        <f t="shared" si="8"/>
        <v>2700079.2199999997</v>
      </c>
      <c r="G86" s="53">
        <f>116458+31805+7800+274310.88+9400+9995+20725.2+3220</f>
        <v>473714.08</v>
      </c>
      <c r="H86" s="53"/>
      <c r="I86" s="53">
        <f>29183+42111+2860+1594340.14</f>
        <v>1668494.14</v>
      </c>
      <c r="J86" s="53">
        <f>198800</f>
        <v>198800</v>
      </c>
      <c r="K86" s="53"/>
      <c r="L86" s="53">
        <f>7268+68949+5180+130926+6005+14018+26725</f>
        <v>259071</v>
      </c>
      <c r="M86" s="53"/>
      <c r="N86" s="53">
        <f>100000</f>
        <v>100000</v>
      </c>
      <c r="O86" s="53"/>
      <c r="P86" s="53"/>
      <c r="Q86" s="53"/>
      <c r="R86" s="53"/>
    </row>
    <row r="87" spans="2:18" ht="19.5">
      <c r="B87" s="50" t="s">
        <v>220</v>
      </c>
      <c r="C87" s="54">
        <v>900000</v>
      </c>
      <c r="D87" s="54">
        <v>900000</v>
      </c>
      <c r="E87" s="54"/>
      <c r="F87" s="53">
        <f t="shared" si="8"/>
        <v>314468.92999999993</v>
      </c>
      <c r="G87" s="53">
        <f>264744.72+28030.61+13006+6634</f>
        <v>312415.32999999996</v>
      </c>
      <c r="H87" s="53"/>
      <c r="I87" s="53">
        <f>2053.6</f>
        <v>2053.6</v>
      </c>
      <c r="J87" s="53"/>
      <c r="K87" s="53"/>
      <c r="L87" s="53"/>
      <c r="M87" s="53"/>
      <c r="N87" s="53"/>
      <c r="O87" s="53"/>
      <c r="P87" s="53"/>
      <c r="Q87" s="53"/>
      <c r="R87" s="53"/>
    </row>
    <row r="88" spans="2:18" ht="19.5">
      <c r="B88" s="50" t="s">
        <v>250</v>
      </c>
      <c r="C88" s="54">
        <v>569200</v>
      </c>
      <c r="D88" s="54">
        <v>569200</v>
      </c>
      <c r="E88" s="54"/>
      <c r="F88" s="53">
        <f t="shared" si="8"/>
        <v>161700</v>
      </c>
      <c r="G88" s="54">
        <f>4400+11000+200+6900+400+25200+12000+2400+3500+59000+13500</f>
        <v>138500</v>
      </c>
      <c r="H88" s="54"/>
      <c r="I88" s="54">
        <f>4200</f>
        <v>4200</v>
      </c>
      <c r="J88" s="54"/>
      <c r="K88" s="54"/>
      <c r="L88" s="54">
        <v>19000</v>
      </c>
      <c r="M88" s="54"/>
      <c r="N88" s="54"/>
      <c r="O88" s="54"/>
      <c r="P88" s="53"/>
      <c r="Q88" s="53"/>
      <c r="R88" s="53"/>
    </row>
    <row r="89" spans="2:18" ht="19.5">
      <c r="B89" s="50" t="s">
        <v>251</v>
      </c>
      <c r="C89" s="54">
        <v>3517900</v>
      </c>
      <c r="D89" s="54">
        <v>3517900</v>
      </c>
      <c r="E89" s="54"/>
      <c r="F89" s="53">
        <f t="shared" si="8"/>
        <v>1275000</v>
      </c>
      <c r="G89" s="54"/>
      <c r="H89" s="54"/>
      <c r="I89" s="54"/>
      <c r="J89" s="54"/>
      <c r="K89" s="54"/>
      <c r="L89" s="54"/>
      <c r="M89" s="54"/>
      <c r="N89" s="54"/>
      <c r="O89" s="54">
        <f>212000+212000+212000+217000+147000+63000+212000</f>
        <v>1275000</v>
      </c>
      <c r="P89" s="53"/>
      <c r="Q89" s="53"/>
      <c r="R89" s="53"/>
    </row>
    <row r="90" spans="2:18" ht="19.5">
      <c r="B90" s="50" t="s">
        <v>153</v>
      </c>
      <c r="C90" s="54"/>
      <c r="D90" s="54"/>
      <c r="E90" s="54"/>
      <c r="F90" s="53">
        <f t="shared" si="8"/>
        <v>0</v>
      </c>
      <c r="G90" s="54"/>
      <c r="H90" s="54"/>
      <c r="I90" s="54"/>
      <c r="J90" s="54"/>
      <c r="K90" s="54"/>
      <c r="L90" s="54"/>
      <c r="M90" s="54"/>
      <c r="N90" s="54"/>
      <c r="O90" s="54"/>
      <c r="P90" s="53"/>
      <c r="Q90" s="53"/>
      <c r="R90" s="53"/>
    </row>
    <row r="91" spans="2:18" ht="19.5">
      <c r="B91" s="56" t="s">
        <v>56</v>
      </c>
      <c r="C91" s="57">
        <v>3452000</v>
      </c>
      <c r="D91" s="57">
        <v>3452000</v>
      </c>
      <c r="E91" s="57"/>
      <c r="F91" s="55">
        <f t="shared" si="8"/>
        <v>5564159.02</v>
      </c>
      <c r="G91" s="57">
        <f>10000+25000+10000+1000+2000+2000+40000+120000</f>
        <v>210000</v>
      </c>
      <c r="H91" s="57"/>
      <c r="I91" s="57">
        <f>575000+758000+185000+244000+134000+178000+334000+444000+1054000+1400000</f>
        <v>5306000</v>
      </c>
      <c r="J91" s="57"/>
      <c r="K91" s="57"/>
      <c r="L91" s="57">
        <v>30159.02</v>
      </c>
      <c r="M91" s="57"/>
      <c r="N91" s="57">
        <f>9000+9000</f>
        <v>18000</v>
      </c>
      <c r="O91" s="57"/>
      <c r="P91" s="55"/>
      <c r="Q91" s="55"/>
      <c r="R91" s="55"/>
    </row>
    <row r="92" spans="2:18" ht="20.25" thickBot="1">
      <c r="B92" s="170" t="s">
        <v>252</v>
      </c>
      <c r="C92" s="73">
        <f>SUM(C81:C91)</f>
        <v>28000000</v>
      </c>
      <c r="D92" s="73">
        <f>SUM(D81:D91)</f>
        <v>28000000</v>
      </c>
      <c r="E92" s="73"/>
      <c r="F92" s="74">
        <f>SUM(F81:F91)</f>
        <v>18522638.24</v>
      </c>
      <c r="G92" s="75"/>
      <c r="H92" s="75"/>
      <c r="I92" s="76"/>
      <c r="J92" s="75"/>
      <c r="K92" s="75"/>
      <c r="L92" s="75"/>
      <c r="M92" s="75"/>
      <c r="N92" s="75"/>
      <c r="O92" s="75"/>
      <c r="P92" s="75"/>
      <c r="Q92" s="75"/>
      <c r="R92" s="75"/>
    </row>
    <row r="93" spans="2:18" ht="20.25" thickTop="1">
      <c r="B93" s="60" t="s">
        <v>63</v>
      </c>
      <c r="C93" s="71"/>
      <c r="D93" s="71"/>
      <c r="E93" s="71"/>
      <c r="F93" s="69"/>
      <c r="G93" s="72"/>
      <c r="H93" s="72"/>
      <c r="I93" s="69"/>
      <c r="J93" s="72"/>
      <c r="K93" s="72"/>
      <c r="L93" s="72"/>
      <c r="M93" s="72"/>
      <c r="N93" s="72"/>
      <c r="O93" s="72"/>
      <c r="P93" s="72"/>
      <c r="Q93" s="72"/>
      <c r="R93" s="72"/>
    </row>
    <row r="94" spans="2:18" ht="19.5">
      <c r="B94" s="49" t="s">
        <v>253</v>
      </c>
      <c r="C94" s="70">
        <v>160000</v>
      </c>
      <c r="D94" s="70">
        <v>160000</v>
      </c>
      <c r="E94" s="70"/>
      <c r="F94" s="53">
        <v>164710.16</v>
      </c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2:18" ht="19.5">
      <c r="B95" s="49" t="s">
        <v>254</v>
      </c>
      <c r="C95" s="70">
        <v>5000</v>
      </c>
      <c r="D95" s="70">
        <v>5000</v>
      </c>
      <c r="E95" s="70"/>
      <c r="F95" s="53">
        <v>728258.6</v>
      </c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</row>
    <row r="96" spans="2:18" ht="19.5">
      <c r="B96" s="50" t="s">
        <v>255</v>
      </c>
      <c r="C96" s="54">
        <v>200000</v>
      </c>
      <c r="D96" s="54">
        <v>200000</v>
      </c>
      <c r="E96" s="54"/>
      <c r="F96" s="53">
        <v>251124</v>
      </c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</row>
    <row r="97" spans="2:18" ht="19.5">
      <c r="B97" s="50" t="s">
        <v>258</v>
      </c>
      <c r="C97" s="54">
        <v>270000</v>
      </c>
      <c r="D97" s="54">
        <v>270000</v>
      </c>
      <c r="E97" s="54"/>
      <c r="F97" s="53">
        <v>219900.3</v>
      </c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</row>
    <row r="98" spans="2:18" ht="19.5">
      <c r="B98" s="50" t="s">
        <v>256</v>
      </c>
      <c r="C98" s="54">
        <v>200000</v>
      </c>
      <c r="D98" s="54">
        <v>200000</v>
      </c>
      <c r="E98" s="54"/>
      <c r="F98" s="53">
        <v>87798</v>
      </c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</row>
    <row r="99" spans="2:18" ht="19.5">
      <c r="B99" s="50" t="s">
        <v>257</v>
      </c>
      <c r="C99" s="54">
        <v>0</v>
      </c>
      <c r="D99" s="54">
        <v>0</v>
      </c>
      <c r="E99" s="54"/>
      <c r="F99" s="53">
        <v>0</v>
      </c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</row>
    <row r="100" spans="2:18" ht="19.5">
      <c r="B100" s="50" t="s">
        <v>168</v>
      </c>
      <c r="C100" s="54">
        <v>14665000</v>
      </c>
      <c r="D100" s="54">
        <v>14665000</v>
      </c>
      <c r="E100" s="54"/>
      <c r="F100" s="53">
        <v>15488549.58</v>
      </c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</row>
    <row r="101" spans="2:18" ht="19.5">
      <c r="B101" s="50" t="s">
        <v>169</v>
      </c>
      <c r="C101" s="54">
        <v>12500000</v>
      </c>
      <c r="D101" s="54">
        <v>12500000</v>
      </c>
      <c r="E101" s="54"/>
      <c r="F101" s="53">
        <v>12381728</v>
      </c>
      <c r="G101" s="54"/>
      <c r="H101" s="54"/>
      <c r="I101" s="54"/>
      <c r="J101" s="54"/>
      <c r="K101" s="54"/>
      <c r="L101" s="54"/>
      <c r="M101" s="54"/>
      <c r="N101" s="54"/>
      <c r="O101" s="54"/>
      <c r="P101" s="53"/>
      <c r="Q101" s="53"/>
      <c r="R101" s="53"/>
    </row>
    <row r="102" spans="2:18" ht="19.5">
      <c r="B102" s="50" t="s">
        <v>388</v>
      </c>
      <c r="C102" s="54"/>
      <c r="D102" s="54"/>
      <c r="E102" s="54"/>
      <c r="F102" s="53">
        <v>173620</v>
      </c>
      <c r="G102" s="54"/>
      <c r="H102" s="54"/>
      <c r="I102" s="54"/>
      <c r="J102" s="54"/>
      <c r="K102" s="54"/>
      <c r="L102" s="54"/>
      <c r="M102" s="54"/>
      <c r="N102" s="54"/>
      <c r="O102" s="54"/>
      <c r="P102" s="53"/>
      <c r="Q102" s="53"/>
      <c r="R102" s="53"/>
    </row>
    <row r="103" spans="2:18" ht="19.5">
      <c r="B103" s="50" t="s">
        <v>389</v>
      </c>
      <c r="C103" s="54"/>
      <c r="D103" s="54"/>
      <c r="E103" s="54"/>
      <c r="F103" s="53">
        <v>5151186</v>
      </c>
      <c r="G103" s="54"/>
      <c r="H103" s="54"/>
      <c r="I103" s="54"/>
      <c r="J103" s="54"/>
      <c r="K103" s="54"/>
      <c r="L103" s="54"/>
      <c r="M103" s="54"/>
      <c r="N103" s="54"/>
      <c r="O103" s="54"/>
      <c r="P103" s="53"/>
      <c r="Q103" s="53"/>
      <c r="R103" s="53"/>
    </row>
    <row r="104" spans="2:18" ht="21" thickBot="1">
      <c r="B104" s="168" t="s">
        <v>69</v>
      </c>
      <c r="C104" s="78">
        <f>SUM(C94:C103)</f>
        <v>28000000</v>
      </c>
      <c r="D104" s="78">
        <f>SUM(D94:D103)</f>
        <v>28000000</v>
      </c>
      <c r="E104" s="78"/>
      <c r="F104" s="77">
        <f aca="true" t="shared" si="9" ref="F104:R104">SUM(F94:F103)</f>
        <v>34646874.64</v>
      </c>
      <c r="G104" s="77">
        <f t="shared" si="9"/>
        <v>0</v>
      </c>
      <c r="H104" s="77">
        <f t="shared" si="9"/>
        <v>0</v>
      </c>
      <c r="I104" s="77">
        <f t="shared" si="9"/>
        <v>0</v>
      </c>
      <c r="J104" s="77">
        <f t="shared" si="9"/>
        <v>0</v>
      </c>
      <c r="K104" s="77">
        <f t="shared" si="9"/>
        <v>0</v>
      </c>
      <c r="L104" s="77">
        <f t="shared" si="9"/>
        <v>0</v>
      </c>
      <c r="M104" s="77">
        <f t="shared" si="9"/>
        <v>0</v>
      </c>
      <c r="N104" s="77">
        <f t="shared" si="9"/>
        <v>0</v>
      </c>
      <c r="O104" s="77">
        <f t="shared" si="9"/>
        <v>0</v>
      </c>
      <c r="P104" s="77">
        <f t="shared" si="9"/>
        <v>0</v>
      </c>
      <c r="Q104" s="77">
        <f t="shared" si="9"/>
        <v>0</v>
      </c>
      <c r="R104" s="77">
        <f t="shared" si="9"/>
        <v>0</v>
      </c>
    </row>
    <row r="105" spans="2:6" ht="21" thickBot="1" thickTop="1">
      <c r="B105" s="61" t="s">
        <v>260</v>
      </c>
      <c r="F105" s="112">
        <f>+F104-F92</f>
        <v>16124236.400000002</v>
      </c>
    </row>
    <row r="106" ht="20.25" thickTop="1"/>
    <row r="107" ht="19.5">
      <c r="B107" s="52" t="s">
        <v>364</v>
      </c>
    </row>
    <row r="109" spans="2:16" ht="20.25" thickBot="1">
      <c r="B109" s="1" t="s">
        <v>365</v>
      </c>
      <c r="C109" s="1" t="s">
        <v>61</v>
      </c>
      <c r="D109" s="1" t="s">
        <v>61</v>
      </c>
      <c r="F109" s="109"/>
      <c r="G109" s="1" t="s">
        <v>366</v>
      </c>
      <c r="H109" s="1" t="s">
        <v>367</v>
      </c>
      <c r="K109" s="1" t="s">
        <v>370</v>
      </c>
      <c r="N109" s="109"/>
      <c r="O109" s="1" t="s">
        <v>366</v>
      </c>
      <c r="P109" s="1" t="s">
        <v>367</v>
      </c>
    </row>
    <row r="110" ht="20.25" thickTop="1"/>
    <row r="111" spans="3:17" ht="20.25" thickBot="1">
      <c r="C111" s="110" t="s">
        <v>368</v>
      </c>
      <c r="D111" s="110" t="s">
        <v>368</v>
      </c>
      <c r="E111" s="110"/>
      <c r="H111" s="109"/>
      <c r="I111" s="1" t="s">
        <v>366</v>
      </c>
      <c r="M111" s="110" t="s">
        <v>368</v>
      </c>
      <c r="P111" s="109"/>
      <c r="Q111" s="1" t="s">
        <v>366</v>
      </c>
    </row>
    <row r="112" spans="3:17" ht="21" thickBot="1" thickTop="1">
      <c r="C112" s="1" t="s">
        <v>369</v>
      </c>
      <c r="D112" s="1" t="s">
        <v>369</v>
      </c>
      <c r="H112" s="111"/>
      <c r="I112" s="1" t="s">
        <v>366</v>
      </c>
      <c r="M112" s="1" t="s">
        <v>369</v>
      </c>
      <c r="P112" s="111"/>
      <c r="Q112" s="1" t="s">
        <v>366</v>
      </c>
    </row>
    <row r="113" spans="2:18" ht="24" thickTop="1">
      <c r="B113" s="434" t="s">
        <v>376</v>
      </c>
      <c r="C113" s="434"/>
      <c r="D113" s="434"/>
      <c r="E113" s="434"/>
      <c r="F113" s="434"/>
      <c r="G113" s="434"/>
      <c r="H113" s="434"/>
      <c r="I113" s="434"/>
      <c r="J113" s="434"/>
      <c r="K113" s="434"/>
      <c r="L113" s="434"/>
      <c r="M113" s="434"/>
      <c r="N113" s="434"/>
      <c r="O113" s="434"/>
      <c r="P113" s="434"/>
      <c r="Q113" s="434"/>
      <c r="R113" s="434"/>
    </row>
    <row r="114" spans="2:18" ht="23.25">
      <c r="B114" s="434" t="s">
        <v>135</v>
      </c>
      <c r="C114" s="434"/>
      <c r="D114" s="434"/>
      <c r="E114" s="434"/>
      <c r="F114" s="434"/>
      <c r="G114" s="434"/>
      <c r="H114" s="434"/>
      <c r="I114" s="434"/>
      <c r="J114" s="434"/>
      <c r="K114" s="434"/>
      <c r="L114" s="434"/>
      <c r="M114" s="434"/>
      <c r="N114" s="434"/>
      <c r="O114" s="434"/>
      <c r="P114" s="434"/>
      <c r="Q114" s="434"/>
      <c r="R114" s="434"/>
    </row>
    <row r="115" spans="2:18" ht="19.5">
      <c r="B115" s="435" t="s">
        <v>424</v>
      </c>
      <c r="C115" s="435"/>
      <c r="D115" s="435"/>
      <c r="E115" s="435"/>
      <c r="F115" s="435"/>
      <c r="G115" s="435"/>
      <c r="H115" s="435"/>
      <c r="I115" s="435"/>
      <c r="J115" s="435"/>
      <c r="K115" s="435"/>
      <c r="L115" s="435"/>
      <c r="M115" s="435"/>
      <c r="N115" s="435"/>
      <c r="O115" s="435"/>
      <c r="P115" s="435"/>
      <c r="Q115" s="435"/>
      <c r="R115" s="435"/>
    </row>
    <row r="116" spans="2:18" ht="19.5">
      <c r="B116" s="436" t="s">
        <v>62</v>
      </c>
      <c r="C116" s="436" t="s">
        <v>59</v>
      </c>
      <c r="D116" s="436" t="s">
        <v>59</v>
      </c>
      <c r="E116" s="328"/>
      <c r="F116" s="436" t="s">
        <v>196</v>
      </c>
      <c r="G116" s="438" t="s">
        <v>198</v>
      </c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40"/>
    </row>
    <row r="117" spans="2:18" ht="99">
      <c r="B117" s="437"/>
      <c r="C117" s="437"/>
      <c r="D117" s="437"/>
      <c r="E117" s="329"/>
      <c r="F117" s="437"/>
      <c r="G117" s="154" t="s">
        <v>239</v>
      </c>
      <c r="H117" s="154" t="s">
        <v>240</v>
      </c>
      <c r="I117" s="169" t="s">
        <v>241</v>
      </c>
      <c r="J117" s="154" t="s">
        <v>249</v>
      </c>
      <c r="K117" s="154" t="s">
        <v>242</v>
      </c>
      <c r="L117" s="154" t="s">
        <v>243</v>
      </c>
      <c r="M117" s="154" t="s">
        <v>244</v>
      </c>
      <c r="N117" s="154" t="s">
        <v>245</v>
      </c>
      <c r="O117" s="154" t="s">
        <v>246</v>
      </c>
      <c r="P117" s="154" t="s">
        <v>247</v>
      </c>
      <c r="Q117" s="154" t="s">
        <v>248</v>
      </c>
      <c r="R117" s="154" t="s">
        <v>154</v>
      </c>
    </row>
    <row r="118" spans="2:18" ht="19.5">
      <c r="B118" s="171" t="s">
        <v>64</v>
      </c>
      <c r="C118" s="158"/>
      <c r="D118" s="158"/>
      <c r="E118" s="158"/>
      <c r="F118" s="159"/>
      <c r="G118" s="164"/>
      <c r="H118" s="164"/>
      <c r="I118" s="165"/>
      <c r="J118" s="160"/>
      <c r="K118" s="160"/>
      <c r="L118" s="164"/>
      <c r="M118" s="164"/>
      <c r="N118" s="164"/>
      <c r="O118" s="164"/>
      <c r="P118" s="164"/>
      <c r="Q118" s="164"/>
      <c r="R118" s="164"/>
    </row>
    <row r="119" spans="2:18" s="137" customFormat="1" ht="19.5">
      <c r="B119" s="147" t="s">
        <v>154</v>
      </c>
      <c r="C119" s="148">
        <v>766300</v>
      </c>
      <c r="D119" s="148">
        <v>766300</v>
      </c>
      <c r="E119" s="148"/>
      <c r="F119" s="145">
        <f aca="true" t="shared" si="10" ref="F119:F127">G119+H119+I119+J119+K119+L119+M119+N119+O119+P119+Q119+R119</f>
        <v>7064099</v>
      </c>
      <c r="G119" s="149"/>
      <c r="H119" s="149"/>
      <c r="I119" s="150"/>
      <c r="J119" s="149"/>
      <c r="K119" s="149"/>
      <c r="L119" s="149"/>
      <c r="M119" s="149"/>
      <c r="N119" s="149"/>
      <c r="O119" s="149"/>
      <c r="P119" s="149"/>
      <c r="Q119" s="149"/>
      <c r="R119" s="149">
        <f>3000+4761+3000+67500+26200+3000+147000+4768+3000+327400+88800+247900+52800+93600+326800+247900+56000+326200+247900+100000+55200+255800+331800+53600+102400+332600+253100+54400+99200+108510+108510+3420+331300+253700+98400+54400+1710+332200+252100+54400+97600+1710+252600+330900+52800+88800+1710+328900+254000+53600+87200</f>
        <v>7064099</v>
      </c>
    </row>
    <row r="120" spans="2:18" ht="19.5">
      <c r="B120" s="146" t="s">
        <v>217</v>
      </c>
      <c r="C120" s="132">
        <v>3607920</v>
      </c>
      <c r="D120" s="132">
        <v>3607920</v>
      </c>
      <c r="E120" s="132"/>
      <c r="F120" s="144">
        <f t="shared" si="10"/>
        <v>901980</v>
      </c>
      <c r="G120" s="133">
        <f>300660+300660+300660</f>
        <v>901980</v>
      </c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</row>
    <row r="121" spans="2:22" s="137" customFormat="1" ht="19.5">
      <c r="B121" s="134" t="s">
        <v>218</v>
      </c>
      <c r="C121" s="135">
        <v>5809000</v>
      </c>
      <c r="D121" s="135">
        <v>5809000</v>
      </c>
      <c r="E121" s="135"/>
      <c r="F121" s="145">
        <f t="shared" si="10"/>
        <v>1363865</v>
      </c>
      <c r="G121" s="136">
        <f>202485+38515+202485+45090+202485+45090</f>
        <v>736150</v>
      </c>
      <c r="H121" s="136"/>
      <c r="I121" s="136">
        <f>24685+4220+24685+4220+26330+4220+111330+111330+111330+111330</f>
        <v>533680</v>
      </c>
      <c r="J121" s="136"/>
      <c r="K121" s="136"/>
      <c r="L121" s="136">
        <f>31345+31345+31345</f>
        <v>94035</v>
      </c>
      <c r="M121" s="136"/>
      <c r="N121" s="136"/>
      <c r="O121" s="136"/>
      <c r="P121" s="136"/>
      <c r="Q121" s="136"/>
      <c r="R121" s="136"/>
      <c r="V121" s="137">
        <f>3805034.57-3712407.57</f>
        <v>92627</v>
      </c>
    </row>
    <row r="122" spans="2:18" s="137" customFormat="1" ht="19.5">
      <c r="B122" s="151" t="s">
        <v>149</v>
      </c>
      <c r="C122" s="148">
        <v>872000</v>
      </c>
      <c r="D122" s="148">
        <v>872000</v>
      </c>
      <c r="E122" s="148"/>
      <c r="F122" s="145">
        <f t="shared" si="10"/>
        <v>80130</v>
      </c>
      <c r="G122" s="136">
        <f>9300+9300+3740+9300+1100+9300+13870</f>
        <v>55910</v>
      </c>
      <c r="H122" s="136"/>
      <c r="I122" s="136">
        <f>1500+1500+1870+2400+1950</f>
        <v>9220</v>
      </c>
      <c r="J122" s="136"/>
      <c r="K122" s="136"/>
      <c r="L122" s="136">
        <f>3000+3000+3000+3000+3000</f>
        <v>15000</v>
      </c>
      <c r="M122" s="136"/>
      <c r="N122" s="136"/>
      <c r="O122" s="136"/>
      <c r="P122" s="136"/>
      <c r="Q122" s="136"/>
      <c r="R122" s="136"/>
    </row>
    <row r="123" spans="2:18" s="137" customFormat="1" ht="19.5">
      <c r="B123" s="151" t="s">
        <v>150</v>
      </c>
      <c r="C123" s="148">
        <v>4185780</v>
      </c>
      <c r="D123" s="148">
        <v>4185780</v>
      </c>
      <c r="E123" s="148"/>
      <c r="F123" s="145">
        <f t="shared" si="10"/>
        <v>789180.2</v>
      </c>
      <c r="G123" s="136">
        <f>99000+500+18100+2900+200500+1840+1900+2850+3060.2+2200+3550+800+1660+500+6720+3200+8000+8000+36800</f>
        <v>402080.2</v>
      </c>
      <c r="H123" s="136"/>
      <c r="I123" s="136">
        <f>3500+10680+1760+12400+7140+3200+18000+8000+21000+600+1350+10680+48100+3400+19000+10000+25000+60000+37800+1900+500+7200+10680+14280+16380+1350+29100+900+3200</f>
        <v>387100</v>
      </c>
      <c r="J123" s="136"/>
      <c r="K123" s="136"/>
      <c r="L123" s="136"/>
      <c r="M123" s="136"/>
      <c r="N123" s="136"/>
      <c r="O123" s="136"/>
      <c r="P123" s="136"/>
      <c r="Q123" s="136"/>
      <c r="R123" s="136"/>
    </row>
    <row r="124" spans="2:18" s="137" customFormat="1" ht="19.5">
      <c r="B124" s="151" t="s">
        <v>151</v>
      </c>
      <c r="C124" s="148">
        <v>3680120</v>
      </c>
      <c r="D124" s="148">
        <v>3680120</v>
      </c>
      <c r="E124" s="148"/>
      <c r="F124" s="145">
        <f t="shared" si="10"/>
        <v>253748.1</v>
      </c>
      <c r="G124" s="136">
        <f>12913.55+3600+6190+1525+7400+22280+4795+10867.55+6720+8715+2400+148900</f>
        <v>236306.1</v>
      </c>
      <c r="H124" s="136"/>
      <c r="I124" s="136"/>
      <c r="J124" s="136"/>
      <c r="K124" s="136"/>
      <c r="L124" s="136">
        <f>4752+6690+6000</f>
        <v>17442</v>
      </c>
      <c r="M124" s="136"/>
      <c r="N124" s="136"/>
      <c r="O124" s="136"/>
      <c r="P124" s="136"/>
      <c r="Q124" s="136"/>
      <c r="R124" s="136"/>
    </row>
    <row r="125" spans="2:18" ht="19.5">
      <c r="B125" s="152" t="s">
        <v>220</v>
      </c>
      <c r="C125" s="153">
        <v>860000</v>
      </c>
      <c r="D125" s="153">
        <v>860000</v>
      </c>
      <c r="E125" s="153"/>
      <c r="F125" s="144">
        <f t="shared" si="10"/>
        <v>122018.56</v>
      </c>
      <c r="G125" s="133">
        <f>1856.45+33097.96+865.63+20401.49+27696.99+1537+860.28+1887.48+29852.14+788.59+1848.96</f>
        <v>120692.97</v>
      </c>
      <c r="H125" s="133"/>
      <c r="I125" s="133">
        <f>585.74+739.85</f>
        <v>1325.5900000000001</v>
      </c>
      <c r="J125" s="133"/>
      <c r="K125" s="133"/>
      <c r="L125" s="133"/>
      <c r="M125" s="133"/>
      <c r="N125" s="133"/>
      <c r="O125" s="133"/>
      <c r="P125" s="133"/>
      <c r="Q125" s="133"/>
      <c r="R125" s="133"/>
    </row>
    <row r="126" spans="2:18" ht="19.5">
      <c r="B126" s="152" t="s">
        <v>250</v>
      </c>
      <c r="C126" s="153">
        <v>436880</v>
      </c>
      <c r="D126" s="153">
        <v>436880</v>
      </c>
      <c r="E126" s="153"/>
      <c r="F126" s="144">
        <f t="shared" si="10"/>
        <v>0</v>
      </c>
      <c r="G126" s="153"/>
      <c r="H126" s="153"/>
      <c r="I126" s="153"/>
      <c r="J126" s="153"/>
      <c r="K126" s="153"/>
      <c r="L126" s="153"/>
      <c r="M126" s="153"/>
      <c r="N126" s="153"/>
      <c r="O126" s="153"/>
      <c r="P126" s="133"/>
      <c r="Q126" s="133"/>
      <c r="R126" s="133"/>
    </row>
    <row r="127" spans="2:18" s="137" customFormat="1" ht="19.5">
      <c r="B127" s="151" t="s">
        <v>251</v>
      </c>
      <c r="C127" s="148">
        <v>4170000</v>
      </c>
      <c r="D127" s="148">
        <v>4170000</v>
      </c>
      <c r="E127" s="148"/>
      <c r="F127" s="145">
        <f t="shared" si="10"/>
        <v>6657186</v>
      </c>
      <c r="G127" s="148">
        <f>2274000+765650+587536+288000+117000+1524000+666000+20000+172000+243000</f>
        <v>6657186</v>
      </c>
      <c r="H127" s="148"/>
      <c r="I127" s="148"/>
      <c r="J127" s="148"/>
      <c r="K127" s="148"/>
      <c r="L127" s="148"/>
      <c r="M127" s="148"/>
      <c r="N127" s="148"/>
      <c r="O127" s="148"/>
      <c r="P127" s="136"/>
      <c r="Q127" s="136"/>
      <c r="R127" s="136"/>
    </row>
    <row r="128" spans="2:18" s="137" customFormat="1" ht="19.5">
      <c r="B128" s="151" t="s">
        <v>416</v>
      </c>
      <c r="C128" s="148">
        <v>0</v>
      </c>
      <c r="D128" s="148">
        <v>0</v>
      </c>
      <c r="E128" s="148"/>
      <c r="F128" s="145"/>
      <c r="G128" s="148"/>
      <c r="H128" s="148"/>
      <c r="I128" s="148"/>
      <c r="J128" s="148"/>
      <c r="K128" s="148"/>
      <c r="L128" s="148"/>
      <c r="M128" s="148"/>
      <c r="N128" s="148"/>
      <c r="O128" s="148"/>
      <c r="P128" s="136"/>
      <c r="Q128" s="136"/>
      <c r="R128" s="136"/>
    </row>
    <row r="129" spans="2:18" ht="19.5">
      <c r="B129" s="152" t="s">
        <v>153</v>
      </c>
      <c r="C129" s="153"/>
      <c r="D129" s="153"/>
      <c r="E129" s="153"/>
      <c r="F129" s="144">
        <f>G129+H129+I129+J129+K129+M129+N129+O129+P129+Q129+R129</f>
        <v>0</v>
      </c>
      <c r="G129" s="153"/>
      <c r="H129" s="153"/>
      <c r="I129" s="153"/>
      <c r="J129" s="153"/>
      <c r="K129" s="153"/>
      <c r="L129" s="153"/>
      <c r="M129" s="153"/>
      <c r="N129" s="153"/>
      <c r="O129" s="153"/>
      <c r="P129" s="133"/>
      <c r="Q129" s="133"/>
      <c r="R129" s="133"/>
    </row>
    <row r="130" spans="2:18" ht="19.5">
      <c r="B130" s="152" t="s">
        <v>56</v>
      </c>
      <c r="C130" s="153">
        <v>3212000</v>
      </c>
      <c r="D130" s="153">
        <v>3212000</v>
      </c>
      <c r="E130" s="153"/>
      <c r="F130" s="144">
        <f>G130+H130+I130+J130+K130+L130+M130+N130+O130+P130+Q130+R130</f>
        <v>1269130</v>
      </c>
      <c r="G130" s="153">
        <f>1000+9000+42000+4800+5600+1710+12600+15600+2000+3200+5600+1710+5600+1710+5600+500+15000+44200+24000+2400+8000+9000</f>
        <v>220830</v>
      </c>
      <c r="H130" s="153"/>
      <c r="I130" s="153">
        <f>744000+216300+88000</f>
        <v>1048300</v>
      </c>
      <c r="J130" s="153"/>
      <c r="K130" s="153"/>
      <c r="L130" s="153"/>
      <c r="M130" s="153"/>
      <c r="N130" s="153"/>
      <c r="O130" s="153"/>
      <c r="P130" s="133"/>
      <c r="Q130" s="133"/>
      <c r="R130" s="133"/>
    </row>
    <row r="131" spans="2:18" ht="19.5">
      <c r="B131" s="172" t="s">
        <v>252</v>
      </c>
      <c r="C131" s="155">
        <f>SUM(C119:C130)</f>
        <v>27600000</v>
      </c>
      <c r="D131" s="155">
        <f>SUM(D119:D130)</f>
        <v>27600000</v>
      </c>
      <c r="E131" s="155"/>
      <c r="F131" s="156">
        <f>SUM(F119:F130)</f>
        <v>18501336.86</v>
      </c>
      <c r="G131" s="157"/>
      <c r="H131" s="157"/>
      <c r="I131" s="156"/>
      <c r="J131" s="157"/>
      <c r="K131" s="157"/>
      <c r="L131" s="157"/>
      <c r="M131" s="157"/>
      <c r="N131" s="157"/>
      <c r="O131" s="157"/>
      <c r="P131" s="157"/>
      <c r="Q131" s="157"/>
      <c r="R131" s="157"/>
    </row>
    <row r="132" spans="2:18" ht="19.5">
      <c r="B132" s="173" t="s">
        <v>63</v>
      </c>
      <c r="C132" s="155"/>
      <c r="D132" s="155"/>
      <c r="E132" s="155"/>
      <c r="F132" s="156"/>
      <c r="G132" s="157"/>
      <c r="H132" s="157"/>
      <c r="I132" s="156"/>
      <c r="J132" s="157"/>
      <c r="K132" s="157"/>
      <c r="L132" s="157"/>
      <c r="M132" s="157"/>
      <c r="N132" s="157"/>
      <c r="O132" s="157"/>
      <c r="P132" s="157"/>
      <c r="Q132" s="157"/>
      <c r="R132" s="157"/>
    </row>
    <row r="133" spans="2:18" ht="19.5">
      <c r="B133" s="146" t="s">
        <v>253</v>
      </c>
      <c r="C133" s="132">
        <v>160000</v>
      </c>
      <c r="D133" s="132">
        <v>160000</v>
      </c>
      <c r="E133" s="132"/>
      <c r="F133" s="133">
        <v>165197.28</v>
      </c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</row>
    <row r="134" spans="2:18" ht="19.5">
      <c r="B134" s="146" t="s">
        <v>254</v>
      </c>
      <c r="C134" s="132">
        <v>10000</v>
      </c>
      <c r="D134" s="132">
        <v>10000</v>
      </c>
      <c r="E134" s="132"/>
      <c r="F134" s="133">
        <v>22155.5</v>
      </c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</row>
    <row r="135" spans="2:18" ht="19.5">
      <c r="B135" s="152" t="s">
        <v>255</v>
      </c>
      <c r="C135" s="153">
        <v>200000</v>
      </c>
      <c r="D135" s="153">
        <v>200000</v>
      </c>
      <c r="E135" s="153"/>
      <c r="F135" s="133">
        <v>290468</v>
      </c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</row>
    <row r="136" spans="2:18" ht="19.5">
      <c r="B136" s="152" t="s">
        <v>258</v>
      </c>
      <c r="C136" s="153">
        <v>280000</v>
      </c>
      <c r="D136" s="153">
        <v>280000</v>
      </c>
      <c r="E136" s="153"/>
      <c r="F136" s="133">
        <v>454788.68</v>
      </c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</row>
    <row r="137" spans="2:18" ht="19.5">
      <c r="B137" s="152" t="s">
        <v>256</v>
      </c>
      <c r="C137" s="153">
        <v>50000</v>
      </c>
      <c r="D137" s="153">
        <v>50000</v>
      </c>
      <c r="E137" s="153"/>
      <c r="F137" s="133">
        <v>85595</v>
      </c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</row>
    <row r="138" spans="2:18" ht="19.5">
      <c r="B138" s="152" t="s">
        <v>257</v>
      </c>
      <c r="C138" s="153">
        <v>0</v>
      </c>
      <c r="D138" s="153">
        <v>0</v>
      </c>
      <c r="E138" s="153"/>
      <c r="F138" s="133">
        <v>0</v>
      </c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</row>
    <row r="139" spans="2:18" ht="19.5">
      <c r="B139" s="152" t="s">
        <v>168</v>
      </c>
      <c r="C139" s="153">
        <v>14400000</v>
      </c>
      <c r="D139" s="153">
        <v>14400000</v>
      </c>
      <c r="E139" s="153"/>
      <c r="F139" s="133">
        <v>13126738.33</v>
      </c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</row>
    <row r="140" spans="2:18" ht="19.5">
      <c r="B140" s="152" t="s">
        <v>169</v>
      </c>
      <c r="C140" s="153">
        <v>12500000</v>
      </c>
      <c r="D140" s="153">
        <v>12500000</v>
      </c>
      <c r="E140" s="153"/>
      <c r="F140" s="133">
        <v>11309058</v>
      </c>
      <c r="G140" s="153"/>
      <c r="H140" s="153"/>
      <c r="I140" s="153"/>
      <c r="J140" s="153"/>
      <c r="K140" s="153"/>
      <c r="L140" s="153"/>
      <c r="M140" s="153"/>
      <c r="N140" s="153"/>
      <c r="O140" s="153"/>
      <c r="P140" s="133"/>
      <c r="Q140" s="133"/>
      <c r="R140" s="133"/>
    </row>
    <row r="141" spans="2:18" ht="19.5">
      <c r="B141" s="152" t="s">
        <v>259</v>
      </c>
      <c r="C141" s="153"/>
      <c r="D141" s="153"/>
      <c r="E141" s="153"/>
      <c r="F141" s="133">
        <v>12394930</v>
      </c>
      <c r="G141" s="153"/>
      <c r="H141" s="153"/>
      <c r="I141" s="153"/>
      <c r="J141" s="153"/>
      <c r="K141" s="153"/>
      <c r="L141" s="153"/>
      <c r="M141" s="153"/>
      <c r="N141" s="153"/>
      <c r="O141" s="153"/>
      <c r="P141" s="133"/>
      <c r="Q141" s="133"/>
      <c r="R141" s="133"/>
    </row>
    <row r="142" spans="2:18" ht="21">
      <c r="B142" s="174" t="s">
        <v>69</v>
      </c>
      <c r="C142" s="162">
        <f aca="true" t="shared" si="11" ref="C142:R142">SUM(C133:C141)</f>
        <v>27600000</v>
      </c>
      <c r="D142" s="162">
        <f>SUM(D133:D141)</f>
        <v>27600000</v>
      </c>
      <c r="E142" s="162"/>
      <c r="F142" s="163">
        <f t="shared" si="11"/>
        <v>37848930.79</v>
      </c>
      <c r="G142" s="163">
        <f t="shared" si="11"/>
        <v>0</v>
      </c>
      <c r="H142" s="163">
        <f t="shared" si="11"/>
        <v>0</v>
      </c>
      <c r="I142" s="163">
        <f t="shared" si="11"/>
        <v>0</v>
      </c>
      <c r="J142" s="163">
        <f t="shared" si="11"/>
        <v>0</v>
      </c>
      <c r="K142" s="163">
        <f t="shared" si="11"/>
        <v>0</v>
      </c>
      <c r="L142" s="163">
        <f t="shared" si="11"/>
        <v>0</v>
      </c>
      <c r="M142" s="163">
        <f t="shared" si="11"/>
        <v>0</v>
      </c>
      <c r="N142" s="163">
        <f t="shared" si="11"/>
        <v>0</v>
      </c>
      <c r="O142" s="163">
        <f t="shared" si="11"/>
        <v>0</v>
      </c>
      <c r="P142" s="163">
        <f t="shared" si="11"/>
        <v>0</v>
      </c>
      <c r="Q142" s="163">
        <f t="shared" si="11"/>
        <v>0</v>
      </c>
      <c r="R142" s="163">
        <f t="shared" si="11"/>
        <v>0</v>
      </c>
    </row>
    <row r="143" spans="2:6" ht="19.5">
      <c r="B143" s="61" t="s">
        <v>260</v>
      </c>
      <c r="F143" s="161">
        <f>+F142-F131</f>
        <v>19347593.93</v>
      </c>
    </row>
    <row r="146" ht="19.5">
      <c r="B146" s="52" t="s">
        <v>364</v>
      </c>
    </row>
    <row r="148" spans="2:16" ht="20.25" thickBot="1">
      <c r="B148" s="1" t="s">
        <v>365</v>
      </c>
      <c r="C148" s="1" t="s">
        <v>61</v>
      </c>
      <c r="D148" s="1" t="s">
        <v>61</v>
      </c>
      <c r="F148" s="166" t="s">
        <v>421</v>
      </c>
      <c r="G148" s="1" t="s">
        <v>366</v>
      </c>
      <c r="H148" s="1" t="s">
        <v>367</v>
      </c>
      <c r="K148" s="1" t="s">
        <v>370</v>
      </c>
      <c r="N148" s="109"/>
      <c r="O148" s="1" t="s">
        <v>366</v>
      </c>
      <c r="P148" s="1" t="s">
        <v>367</v>
      </c>
    </row>
    <row r="149" ht="20.25" thickTop="1"/>
    <row r="150" spans="3:17" ht="20.25" thickBot="1">
      <c r="C150" s="110" t="s">
        <v>368</v>
      </c>
      <c r="D150" s="110" t="s">
        <v>368</v>
      </c>
      <c r="E150" s="110"/>
      <c r="H150" s="109"/>
      <c r="I150" s="1" t="s">
        <v>366</v>
      </c>
      <c r="M150" s="110" t="s">
        <v>368</v>
      </c>
      <c r="P150" s="109"/>
      <c r="Q150" s="1" t="s">
        <v>366</v>
      </c>
    </row>
    <row r="151" spans="3:17" ht="21" thickBot="1" thickTop="1">
      <c r="C151" s="1" t="s">
        <v>369</v>
      </c>
      <c r="D151" s="1" t="s">
        <v>369</v>
      </c>
      <c r="H151" s="111"/>
      <c r="I151" s="1" t="s">
        <v>366</v>
      </c>
      <c r="M151" s="1" t="s">
        <v>369</v>
      </c>
      <c r="P151" s="111"/>
      <c r="Q151" s="1" t="s">
        <v>366</v>
      </c>
    </row>
    <row r="152" ht="20.25" thickTop="1"/>
    <row r="181" ht="25.5">
      <c r="B181" s="139" t="s">
        <v>417</v>
      </c>
    </row>
    <row r="182" spans="2:18" ht="19.5">
      <c r="B182" s="442" t="s">
        <v>62</v>
      </c>
      <c r="C182" s="442" t="s">
        <v>59</v>
      </c>
      <c r="D182" s="442" t="s">
        <v>59</v>
      </c>
      <c r="E182" s="327"/>
      <c r="F182" s="442" t="s">
        <v>196</v>
      </c>
      <c r="G182" s="442" t="s">
        <v>198</v>
      </c>
      <c r="H182" s="442"/>
      <c r="I182" s="442"/>
      <c r="J182" s="442"/>
      <c r="K182" s="442"/>
      <c r="L182" s="442"/>
      <c r="M182" s="442"/>
      <c r="N182" s="442"/>
      <c r="O182" s="442"/>
      <c r="P182" s="442"/>
      <c r="Q182" s="442"/>
      <c r="R182" s="442"/>
    </row>
    <row r="183" spans="2:18" ht="99">
      <c r="B183" s="436"/>
      <c r="C183" s="436"/>
      <c r="D183" s="436"/>
      <c r="E183" s="328"/>
      <c r="F183" s="436"/>
      <c r="G183" s="46" t="s">
        <v>239</v>
      </c>
      <c r="H183" s="46" t="s">
        <v>240</v>
      </c>
      <c r="I183" s="143" t="s">
        <v>241</v>
      </c>
      <c r="J183" s="46" t="s">
        <v>249</v>
      </c>
      <c r="K183" s="46" t="s">
        <v>242</v>
      </c>
      <c r="L183" s="46" t="s">
        <v>243</v>
      </c>
      <c r="M183" s="46" t="s">
        <v>244</v>
      </c>
      <c r="N183" s="46" t="s">
        <v>245</v>
      </c>
      <c r="O183" s="46" t="s">
        <v>246</v>
      </c>
      <c r="P183" s="46" t="s">
        <v>247</v>
      </c>
      <c r="Q183" s="46" t="s">
        <v>248</v>
      </c>
      <c r="R183" s="46" t="s">
        <v>154</v>
      </c>
    </row>
    <row r="184" spans="2:18" ht="19.5">
      <c r="B184" s="140">
        <v>21459</v>
      </c>
      <c r="C184" s="141"/>
      <c r="D184" s="141"/>
      <c r="E184" s="141"/>
      <c r="F184" s="142">
        <f>G184+H184+I184+J184+K184+L184+M184+N184+O184+P184+Q184+R184</f>
        <v>45950</v>
      </c>
      <c r="G184" s="142">
        <v>5260</v>
      </c>
      <c r="H184" s="142">
        <v>0</v>
      </c>
      <c r="I184" s="142">
        <v>5340</v>
      </c>
      <c r="J184" s="142">
        <v>0</v>
      </c>
      <c r="K184" s="142">
        <v>0</v>
      </c>
      <c r="L184" s="142">
        <v>0</v>
      </c>
      <c r="M184" s="142">
        <v>0</v>
      </c>
      <c r="N184" s="142">
        <v>35350</v>
      </c>
      <c r="O184" s="142"/>
      <c r="P184" s="142"/>
      <c r="Q184" s="142"/>
      <c r="R184" s="142"/>
    </row>
    <row r="185" spans="2:18" ht="19.5">
      <c r="B185" s="140">
        <v>21490</v>
      </c>
      <c r="C185" s="141"/>
      <c r="D185" s="141"/>
      <c r="E185" s="141"/>
      <c r="F185" s="142">
        <f aca="true" t="shared" si="12" ref="F185:F194">G185+H185+I185+J185+K185+L185+M185+N185+O185+P185+Q185+R185</f>
        <v>233961.07</v>
      </c>
      <c r="G185" s="142">
        <v>94953.07</v>
      </c>
      <c r="H185" s="142">
        <v>0</v>
      </c>
      <c r="I185" s="142">
        <v>33508</v>
      </c>
      <c r="J185" s="142">
        <v>0</v>
      </c>
      <c r="K185" s="142">
        <v>0</v>
      </c>
      <c r="L185" s="142">
        <v>0</v>
      </c>
      <c r="M185" s="142">
        <v>0</v>
      </c>
      <c r="N185" s="142">
        <v>105500</v>
      </c>
      <c r="O185" s="142"/>
      <c r="P185" s="142"/>
      <c r="Q185" s="142"/>
      <c r="R185" s="142"/>
    </row>
    <row r="186" spans="2:18" ht="19.5">
      <c r="B186" s="140">
        <v>21520</v>
      </c>
      <c r="C186" s="141"/>
      <c r="D186" s="141"/>
      <c r="E186" s="141"/>
      <c r="F186" s="142">
        <f t="shared" si="12"/>
        <v>372530</v>
      </c>
      <c r="G186" s="142">
        <v>155900</v>
      </c>
      <c r="H186" s="142">
        <v>0</v>
      </c>
      <c r="I186" s="142">
        <v>55160</v>
      </c>
      <c r="J186" s="142">
        <v>0</v>
      </c>
      <c r="K186" s="142">
        <v>0</v>
      </c>
      <c r="L186" s="142">
        <v>0</v>
      </c>
      <c r="M186" s="142">
        <v>111470</v>
      </c>
      <c r="N186" s="142">
        <v>50000</v>
      </c>
      <c r="O186" s="142"/>
      <c r="P186" s="142"/>
      <c r="Q186" s="142"/>
      <c r="R186" s="142"/>
    </row>
    <row r="187" spans="2:18" ht="19.5">
      <c r="B187" s="140">
        <v>21551</v>
      </c>
      <c r="C187" s="141"/>
      <c r="D187" s="141"/>
      <c r="E187" s="141"/>
      <c r="F187" s="142">
        <f t="shared" si="12"/>
        <v>143052</v>
      </c>
      <c r="G187" s="142">
        <v>17337</v>
      </c>
      <c r="H187" s="142">
        <v>7220</v>
      </c>
      <c r="I187" s="142">
        <v>72680</v>
      </c>
      <c r="J187" s="142">
        <v>0</v>
      </c>
      <c r="K187" s="142">
        <v>0</v>
      </c>
      <c r="L187" s="142">
        <v>0</v>
      </c>
      <c r="M187" s="142">
        <v>0</v>
      </c>
      <c r="N187" s="142">
        <v>45815</v>
      </c>
      <c r="O187" s="142">
        <v>0</v>
      </c>
      <c r="P187" s="142"/>
      <c r="Q187" s="142"/>
      <c r="R187" s="142"/>
    </row>
    <row r="188" spans="2:18" ht="19.5">
      <c r="B188" s="140">
        <v>21582</v>
      </c>
      <c r="C188" s="141"/>
      <c r="D188" s="141"/>
      <c r="E188" s="141"/>
      <c r="F188" s="142">
        <f t="shared" si="12"/>
        <v>1291468</v>
      </c>
      <c r="G188" s="142">
        <v>111240</v>
      </c>
      <c r="H188" s="142">
        <v>0</v>
      </c>
      <c r="I188" s="142">
        <v>1180228</v>
      </c>
      <c r="J188" s="142">
        <v>0</v>
      </c>
      <c r="K188" s="142">
        <v>0</v>
      </c>
      <c r="L188" s="142">
        <v>0</v>
      </c>
      <c r="M188" s="142">
        <v>0</v>
      </c>
      <c r="N188" s="142">
        <v>0</v>
      </c>
      <c r="O188" s="142"/>
      <c r="P188" s="142"/>
      <c r="Q188" s="142"/>
      <c r="R188" s="142"/>
    </row>
    <row r="189" spans="2:18" ht="19.5">
      <c r="B189" s="140">
        <v>21610</v>
      </c>
      <c r="C189" s="141"/>
      <c r="D189" s="141"/>
      <c r="E189" s="141"/>
      <c r="F189" s="142">
        <f t="shared" si="12"/>
        <v>386639</v>
      </c>
      <c r="G189" s="142">
        <v>333059</v>
      </c>
      <c r="H189" s="142">
        <v>0</v>
      </c>
      <c r="I189" s="142">
        <v>53580</v>
      </c>
      <c r="J189" s="142">
        <v>0</v>
      </c>
      <c r="K189" s="142">
        <v>0</v>
      </c>
      <c r="L189" s="142">
        <v>0</v>
      </c>
      <c r="M189" s="142">
        <v>0</v>
      </c>
      <c r="N189" s="142">
        <v>0</v>
      </c>
      <c r="O189" s="142"/>
      <c r="P189" s="142"/>
      <c r="Q189" s="142"/>
      <c r="R189" s="142"/>
    </row>
    <row r="190" spans="2:18" ht="19.5">
      <c r="B190" s="140">
        <v>21641</v>
      </c>
      <c r="C190" s="141"/>
      <c r="D190" s="141"/>
      <c r="E190" s="141"/>
      <c r="F190" s="142">
        <f t="shared" si="12"/>
        <v>224030</v>
      </c>
      <c r="G190" s="142">
        <v>80010</v>
      </c>
      <c r="H190" s="142">
        <v>1280</v>
      </c>
      <c r="I190" s="142">
        <v>92240</v>
      </c>
      <c r="J190" s="142">
        <v>0</v>
      </c>
      <c r="K190" s="142">
        <v>0</v>
      </c>
      <c r="L190" s="142">
        <v>0</v>
      </c>
      <c r="M190" s="142">
        <v>0</v>
      </c>
      <c r="N190" s="142">
        <v>50500</v>
      </c>
      <c r="O190" s="142"/>
      <c r="P190" s="142"/>
      <c r="Q190" s="142"/>
      <c r="R190" s="142"/>
    </row>
    <row r="191" spans="2:18" ht="19.5">
      <c r="B191" s="140">
        <v>21671</v>
      </c>
      <c r="C191" s="141"/>
      <c r="D191" s="141"/>
      <c r="E191" s="141"/>
      <c r="F191" s="142">
        <f t="shared" si="12"/>
        <v>155420</v>
      </c>
      <c r="G191" s="142">
        <v>41560</v>
      </c>
      <c r="H191" s="142">
        <v>0</v>
      </c>
      <c r="I191" s="142">
        <v>25860</v>
      </c>
      <c r="J191" s="142">
        <v>0</v>
      </c>
      <c r="K191" s="142">
        <v>0</v>
      </c>
      <c r="L191" s="142">
        <v>0</v>
      </c>
      <c r="M191" s="142">
        <v>0</v>
      </c>
      <c r="N191" s="142">
        <v>88000</v>
      </c>
      <c r="O191" s="142"/>
      <c r="P191" s="142"/>
      <c r="Q191" s="142"/>
      <c r="R191" s="142"/>
    </row>
    <row r="192" spans="2:18" ht="19.5">
      <c r="B192" s="140">
        <v>21702</v>
      </c>
      <c r="C192" s="141"/>
      <c r="D192" s="141"/>
      <c r="E192" s="141"/>
      <c r="F192" s="142">
        <f t="shared" si="12"/>
        <v>93708</v>
      </c>
      <c r="G192" s="142">
        <v>32788</v>
      </c>
      <c r="H192" s="142">
        <v>0</v>
      </c>
      <c r="I192" s="142">
        <v>60920</v>
      </c>
      <c r="J192" s="142">
        <v>0</v>
      </c>
      <c r="K192" s="142">
        <v>0</v>
      </c>
      <c r="L192" s="142">
        <v>0</v>
      </c>
      <c r="M192" s="142">
        <v>0</v>
      </c>
      <c r="N192" s="142">
        <v>0</v>
      </c>
      <c r="O192" s="142"/>
      <c r="P192" s="142"/>
      <c r="Q192" s="142"/>
      <c r="R192" s="142"/>
    </row>
    <row r="193" spans="2:18" ht="19.5">
      <c r="B193" s="140">
        <v>21732</v>
      </c>
      <c r="C193" s="141"/>
      <c r="D193" s="141"/>
      <c r="E193" s="141"/>
      <c r="F193" s="142">
        <f t="shared" si="12"/>
        <v>159601.5</v>
      </c>
      <c r="G193" s="142">
        <v>53581.5</v>
      </c>
      <c r="H193" s="142">
        <v>0</v>
      </c>
      <c r="I193" s="142">
        <v>106020</v>
      </c>
      <c r="J193" s="142">
        <v>0</v>
      </c>
      <c r="K193" s="142">
        <v>0</v>
      </c>
      <c r="L193" s="142">
        <v>0</v>
      </c>
      <c r="M193" s="142">
        <v>0</v>
      </c>
      <c r="N193" s="142">
        <v>0</v>
      </c>
      <c r="O193" s="142"/>
      <c r="P193" s="142"/>
      <c r="Q193" s="142"/>
      <c r="R193" s="142"/>
    </row>
    <row r="194" spans="2:18" ht="19.5">
      <c r="B194" s="140">
        <v>21763</v>
      </c>
      <c r="C194" s="141"/>
      <c r="D194" s="141"/>
      <c r="E194" s="141"/>
      <c r="F194" s="142">
        <f t="shared" si="12"/>
        <v>238690</v>
      </c>
      <c r="G194" s="142">
        <v>99130</v>
      </c>
      <c r="H194" s="142">
        <v>0</v>
      </c>
      <c r="I194" s="142">
        <v>139560</v>
      </c>
      <c r="J194" s="142">
        <v>0</v>
      </c>
      <c r="K194" s="142">
        <v>0</v>
      </c>
      <c r="L194" s="142">
        <v>0</v>
      </c>
      <c r="M194" s="142">
        <v>0</v>
      </c>
      <c r="N194" s="142">
        <v>0</v>
      </c>
      <c r="O194" s="142"/>
      <c r="P194" s="142"/>
      <c r="Q194" s="142"/>
      <c r="R194" s="142"/>
    </row>
    <row r="195" spans="2:18" ht="19.5">
      <c r="B195" s="140">
        <v>21794</v>
      </c>
      <c r="C195" s="141"/>
      <c r="D195" s="141"/>
      <c r="E195" s="141"/>
      <c r="F195" s="142">
        <f>G195+H195+I195+J195+K195+L195+M195+N195+O195+P195+Q195+R195</f>
        <v>369495</v>
      </c>
      <c r="G195" s="142">
        <v>134595</v>
      </c>
      <c r="H195" s="142">
        <v>0</v>
      </c>
      <c r="I195" s="142">
        <f>194940+18000</f>
        <v>212940</v>
      </c>
      <c r="J195" s="142">
        <v>21960</v>
      </c>
      <c r="K195" s="142">
        <v>0</v>
      </c>
      <c r="L195" s="142">
        <v>0</v>
      </c>
      <c r="M195" s="142">
        <v>0</v>
      </c>
      <c r="N195" s="142">
        <v>0</v>
      </c>
      <c r="O195" s="142"/>
      <c r="P195" s="142"/>
      <c r="Q195" s="142"/>
      <c r="R195" s="142"/>
    </row>
    <row r="196" spans="2:18" ht="19.5">
      <c r="B196" s="141"/>
      <c r="C196" s="141" t="s">
        <v>196</v>
      </c>
      <c r="D196" s="141" t="s">
        <v>196</v>
      </c>
      <c r="E196" s="141"/>
      <c r="F196" s="142">
        <f>G196+H196+I196+J196+K196+L196+M196+N196</f>
        <v>3714544.5700000003</v>
      </c>
      <c r="G196" s="142">
        <f aca="true" t="shared" si="13" ref="G196:N196">SUM(G184:G195)</f>
        <v>1159413.57</v>
      </c>
      <c r="H196" s="142">
        <f t="shared" si="13"/>
        <v>8500</v>
      </c>
      <c r="I196" s="142">
        <f t="shared" si="13"/>
        <v>2038036</v>
      </c>
      <c r="J196" s="142">
        <f t="shared" si="13"/>
        <v>21960</v>
      </c>
      <c r="K196" s="142">
        <f t="shared" si="13"/>
        <v>0</v>
      </c>
      <c r="L196" s="142">
        <f t="shared" si="13"/>
        <v>0</v>
      </c>
      <c r="M196" s="142">
        <f t="shared" si="13"/>
        <v>111470</v>
      </c>
      <c r="N196" s="142">
        <f t="shared" si="13"/>
        <v>375165</v>
      </c>
      <c r="O196" s="142"/>
      <c r="P196" s="142"/>
      <c r="Q196" s="142"/>
      <c r="R196" s="142"/>
    </row>
    <row r="197" spans="2:18" ht="19.5">
      <c r="B197" s="141"/>
      <c r="C197" s="141"/>
      <c r="D197" s="141"/>
      <c r="E197" s="141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</row>
    <row r="198" spans="2:18" ht="19.5"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</row>
    <row r="213" ht="25.5">
      <c r="B213" s="139" t="s">
        <v>151</v>
      </c>
    </row>
    <row r="214" spans="2:18" ht="19.5">
      <c r="B214" s="442" t="s">
        <v>62</v>
      </c>
      <c r="C214" s="442" t="s">
        <v>59</v>
      </c>
      <c r="D214" s="442" t="s">
        <v>59</v>
      </c>
      <c r="E214" s="327"/>
      <c r="F214" s="442" t="s">
        <v>196</v>
      </c>
      <c r="G214" s="442" t="s">
        <v>198</v>
      </c>
      <c r="H214" s="442"/>
      <c r="I214" s="442"/>
      <c r="J214" s="442"/>
      <c r="K214" s="442"/>
      <c r="L214" s="442"/>
      <c r="M214" s="442"/>
      <c r="N214" s="442"/>
      <c r="O214" s="442"/>
      <c r="P214" s="442"/>
      <c r="Q214" s="442"/>
      <c r="R214" s="442"/>
    </row>
    <row r="215" spans="2:18" ht="99">
      <c r="B215" s="436"/>
      <c r="C215" s="436"/>
      <c r="D215" s="436"/>
      <c r="E215" s="328"/>
      <c r="F215" s="436"/>
      <c r="G215" s="46" t="s">
        <v>239</v>
      </c>
      <c r="H215" s="46" t="s">
        <v>240</v>
      </c>
      <c r="I215" s="143" t="s">
        <v>241</v>
      </c>
      <c r="J215" s="46" t="s">
        <v>249</v>
      </c>
      <c r="K215" s="46" t="s">
        <v>242</v>
      </c>
      <c r="L215" s="46" t="s">
        <v>243</v>
      </c>
      <c r="M215" s="46" t="s">
        <v>244</v>
      </c>
      <c r="N215" s="46" t="s">
        <v>245</v>
      </c>
      <c r="O215" s="46" t="s">
        <v>246</v>
      </c>
      <c r="P215" s="46" t="s">
        <v>247</v>
      </c>
      <c r="Q215" s="46" t="s">
        <v>248</v>
      </c>
      <c r="R215" s="46" t="s">
        <v>154</v>
      </c>
    </row>
    <row r="216" spans="2:18" ht="19.5">
      <c r="B216" s="140">
        <v>21459</v>
      </c>
      <c r="C216" s="141"/>
      <c r="D216" s="141"/>
      <c r="E216" s="141"/>
      <c r="F216" s="142">
        <f>G216+H216+I216+J216+K216+L216+M216+N216+O216+P216+Q216+R216</f>
        <v>1000</v>
      </c>
      <c r="G216" s="142">
        <v>1000</v>
      </c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</row>
    <row r="217" spans="2:18" ht="19.5">
      <c r="B217" s="140">
        <v>21490</v>
      </c>
      <c r="C217" s="141"/>
      <c r="D217" s="141"/>
      <c r="E217" s="141"/>
      <c r="F217" s="142">
        <f aca="true" t="shared" si="14" ref="F217:F226">G217+H217+I217+J217+K217+L217+M217+N217+O217+P217+Q217+R217</f>
        <v>138221.8</v>
      </c>
      <c r="G217" s="142">
        <v>37511.8</v>
      </c>
      <c r="H217" s="142"/>
      <c r="I217" s="142">
        <f>610+900</f>
        <v>1510</v>
      </c>
      <c r="J217" s="142">
        <v>96600</v>
      </c>
      <c r="K217" s="142">
        <v>0</v>
      </c>
      <c r="L217" s="142">
        <v>2600</v>
      </c>
      <c r="M217" s="142"/>
      <c r="N217" s="142"/>
      <c r="O217" s="142"/>
      <c r="P217" s="142"/>
      <c r="Q217" s="142"/>
      <c r="R217" s="142"/>
    </row>
    <row r="218" spans="2:18" ht="19.5">
      <c r="B218" s="140">
        <v>21520</v>
      </c>
      <c r="C218" s="141"/>
      <c r="D218" s="141"/>
      <c r="E218" s="141"/>
      <c r="F218" s="142">
        <f t="shared" si="14"/>
        <v>185576.62</v>
      </c>
      <c r="G218" s="142">
        <v>58590.02</v>
      </c>
      <c r="H218" s="142"/>
      <c r="I218" s="142">
        <v>126986.6</v>
      </c>
      <c r="J218" s="142"/>
      <c r="K218" s="142">
        <v>0</v>
      </c>
      <c r="L218" s="142"/>
      <c r="M218" s="142"/>
      <c r="N218" s="142"/>
      <c r="O218" s="142"/>
      <c r="P218" s="142"/>
      <c r="Q218" s="142"/>
      <c r="R218" s="142"/>
    </row>
    <row r="219" spans="2:18" ht="19.5">
      <c r="B219" s="140">
        <v>21551</v>
      </c>
      <c r="C219" s="141"/>
      <c r="D219" s="141"/>
      <c r="E219" s="141"/>
      <c r="F219" s="142">
        <f t="shared" si="14"/>
        <v>177104.36000000002</v>
      </c>
      <c r="G219" s="142">
        <v>26336.76</v>
      </c>
      <c r="H219" s="142"/>
      <c r="I219" s="142">
        <v>115806.6</v>
      </c>
      <c r="J219" s="142"/>
      <c r="K219" s="142">
        <v>34961</v>
      </c>
      <c r="L219" s="142"/>
      <c r="M219" s="142"/>
      <c r="N219" s="142"/>
      <c r="O219" s="142"/>
      <c r="P219" s="142"/>
      <c r="Q219" s="142"/>
      <c r="R219" s="142"/>
    </row>
    <row r="220" spans="2:18" ht="19.5">
      <c r="B220" s="140">
        <v>21582</v>
      </c>
      <c r="C220" s="141"/>
      <c r="D220" s="141"/>
      <c r="E220" s="141"/>
      <c r="F220" s="142">
        <f t="shared" si="14"/>
        <v>149555.6</v>
      </c>
      <c r="G220" s="142">
        <v>21000.2</v>
      </c>
      <c r="H220" s="142"/>
      <c r="I220" s="142">
        <v>122324.4</v>
      </c>
      <c r="J220" s="142"/>
      <c r="K220" s="142"/>
      <c r="L220" s="142">
        <v>6231</v>
      </c>
      <c r="M220" s="142"/>
      <c r="N220" s="142"/>
      <c r="O220" s="142"/>
      <c r="P220" s="142"/>
      <c r="Q220" s="142"/>
      <c r="R220" s="142"/>
    </row>
    <row r="221" spans="2:18" ht="19.5">
      <c r="B221" s="140">
        <v>21610</v>
      </c>
      <c r="C221" s="141"/>
      <c r="D221" s="141"/>
      <c r="E221" s="141"/>
      <c r="F221" s="142">
        <f t="shared" si="14"/>
        <v>198777.4</v>
      </c>
      <c r="G221" s="142">
        <v>37775</v>
      </c>
      <c r="H221" s="142"/>
      <c r="I221" s="142">
        <v>141812.4</v>
      </c>
      <c r="J221" s="142"/>
      <c r="K221" s="142"/>
      <c r="L221" s="142">
        <v>19190</v>
      </c>
      <c r="M221" s="142"/>
      <c r="N221" s="142"/>
      <c r="O221" s="142"/>
      <c r="P221" s="142"/>
      <c r="Q221" s="142"/>
      <c r="R221" s="142"/>
    </row>
    <row r="222" spans="2:18" ht="19.5">
      <c r="B222" s="140">
        <v>21641</v>
      </c>
      <c r="C222" s="141"/>
      <c r="D222" s="141"/>
      <c r="E222" s="141"/>
      <c r="F222" s="142">
        <f t="shared" si="14"/>
        <v>448117.82</v>
      </c>
      <c r="G222" s="142">
        <v>26489</v>
      </c>
      <c r="H222" s="142"/>
      <c r="I222" s="142">
        <v>411390.82</v>
      </c>
      <c r="J222" s="142"/>
      <c r="K222" s="142"/>
      <c r="L222" s="142"/>
      <c r="M222" s="142">
        <v>10238</v>
      </c>
      <c r="N222" s="142"/>
      <c r="O222" s="142"/>
      <c r="P222" s="142"/>
      <c r="Q222" s="142"/>
      <c r="R222" s="142"/>
    </row>
    <row r="223" spans="2:18" ht="19.5">
      <c r="B223" s="140">
        <v>21671</v>
      </c>
      <c r="C223" s="141"/>
      <c r="D223" s="141"/>
      <c r="E223" s="141"/>
      <c r="F223" s="142">
        <f t="shared" si="14"/>
        <v>62610.35</v>
      </c>
      <c r="G223" s="142"/>
      <c r="H223" s="142">
        <v>62610.35</v>
      </c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</row>
    <row r="224" spans="2:18" ht="19.5">
      <c r="B224" s="140">
        <v>21702</v>
      </c>
      <c r="C224" s="141"/>
      <c r="D224" s="141"/>
      <c r="E224" s="141"/>
      <c r="F224" s="142">
        <f t="shared" si="14"/>
        <v>137178.1</v>
      </c>
      <c r="G224" s="142">
        <v>34021.9</v>
      </c>
      <c r="H224" s="142"/>
      <c r="I224" s="142">
        <v>86281.2</v>
      </c>
      <c r="J224" s="142"/>
      <c r="K224" s="142"/>
      <c r="L224" s="142">
        <v>16875</v>
      </c>
      <c r="M224" s="142"/>
      <c r="N224" s="142"/>
      <c r="O224" s="142"/>
      <c r="P224" s="142"/>
      <c r="Q224" s="142"/>
      <c r="R224" s="142"/>
    </row>
    <row r="225" spans="2:18" ht="19.5">
      <c r="B225" s="140">
        <v>21732</v>
      </c>
      <c r="C225" s="141"/>
      <c r="D225" s="141"/>
      <c r="E225" s="141"/>
      <c r="F225" s="142">
        <f t="shared" si="14"/>
        <v>386417.52</v>
      </c>
      <c r="G225" s="142">
        <v>119809.9</v>
      </c>
      <c r="H225" s="142"/>
      <c r="I225" s="142">
        <v>125605.62</v>
      </c>
      <c r="J225" s="142">
        <v>102200</v>
      </c>
      <c r="K225" s="142"/>
      <c r="L225" s="142">
        <v>38802</v>
      </c>
      <c r="M225" s="142"/>
      <c r="N225" s="142"/>
      <c r="O225" s="142"/>
      <c r="P225" s="142"/>
      <c r="Q225" s="142"/>
      <c r="R225" s="142"/>
    </row>
    <row r="226" spans="2:18" ht="19.5">
      <c r="B226" s="140">
        <v>21763</v>
      </c>
      <c r="C226" s="141"/>
      <c r="D226" s="141"/>
      <c r="E226" s="141"/>
      <c r="F226" s="142">
        <f t="shared" si="14"/>
        <v>364391.5</v>
      </c>
      <c r="G226" s="142">
        <v>70787</v>
      </c>
      <c r="H226" s="142"/>
      <c r="I226" s="142">
        <v>250298.5</v>
      </c>
      <c r="J226" s="142"/>
      <c r="K226" s="142"/>
      <c r="L226" s="142">
        <v>43306</v>
      </c>
      <c r="M226" s="142"/>
      <c r="N226" s="142"/>
      <c r="O226" s="142"/>
      <c r="P226" s="142"/>
      <c r="Q226" s="142"/>
      <c r="R226" s="142"/>
    </row>
    <row r="227" spans="2:18" ht="19.5">
      <c r="B227" s="140">
        <v>21794</v>
      </c>
      <c r="C227" s="141"/>
      <c r="D227" s="141"/>
      <c r="E227" s="141"/>
      <c r="F227" s="142">
        <f>G227+H227+I227+J227+K227+L227+M227+N227+O227+P227+Q227+R227</f>
        <v>597938.25</v>
      </c>
      <c r="G227" s="142">
        <v>67597.15</v>
      </c>
      <c r="H227" s="142"/>
      <c r="I227" s="142">
        <v>526431.1</v>
      </c>
      <c r="J227" s="142"/>
      <c r="K227" s="142"/>
      <c r="L227" s="142">
        <v>3910</v>
      </c>
      <c r="M227" s="142"/>
      <c r="N227" s="142"/>
      <c r="O227" s="142"/>
      <c r="P227" s="142"/>
      <c r="Q227" s="142"/>
      <c r="R227" s="142"/>
    </row>
    <row r="228" spans="2:18" ht="19.5">
      <c r="B228" s="141"/>
      <c r="C228" s="141" t="s">
        <v>196</v>
      </c>
      <c r="D228" s="141" t="s">
        <v>196</v>
      </c>
      <c r="E228" s="141"/>
      <c r="F228" s="142">
        <f>G228+H228+I228+J228+K228+L228+M228+N228</f>
        <v>2846889.3200000003</v>
      </c>
      <c r="G228" s="142">
        <f aca="true" t="shared" si="15" ref="G228:M228">SUM(G216:G227)</f>
        <v>500918.73</v>
      </c>
      <c r="H228" s="142">
        <f t="shared" si="15"/>
        <v>62610.35</v>
      </c>
      <c r="I228" s="142">
        <f t="shared" si="15"/>
        <v>1908447.2400000002</v>
      </c>
      <c r="J228" s="142">
        <f t="shared" si="15"/>
        <v>198800</v>
      </c>
      <c r="K228" s="142">
        <f t="shared" si="15"/>
        <v>34961</v>
      </c>
      <c r="L228" s="142">
        <f t="shared" si="15"/>
        <v>130914</v>
      </c>
      <c r="M228" s="142">
        <f t="shared" si="15"/>
        <v>10238</v>
      </c>
      <c r="N228" s="142"/>
      <c r="O228" s="142"/>
      <c r="P228" s="142"/>
      <c r="Q228" s="142"/>
      <c r="R228" s="142"/>
    </row>
    <row r="229" spans="2:18" ht="19.5">
      <c r="B229" s="141"/>
      <c r="C229" s="141"/>
      <c r="D229" s="141"/>
      <c r="E229" s="141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</row>
    <row r="230" spans="2:18" ht="19.5"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</row>
    <row r="245" ht="25.5">
      <c r="B245" s="139" t="s">
        <v>154</v>
      </c>
    </row>
    <row r="246" spans="2:18" ht="19.5">
      <c r="B246" s="442" t="s">
        <v>62</v>
      </c>
      <c r="C246" s="442" t="s">
        <v>59</v>
      </c>
      <c r="D246" s="442" t="s">
        <v>59</v>
      </c>
      <c r="E246" s="327"/>
      <c r="F246" s="442" t="s">
        <v>196</v>
      </c>
      <c r="G246" s="442" t="s">
        <v>154</v>
      </c>
      <c r="H246" s="442"/>
      <c r="I246" s="442"/>
      <c r="J246" s="442"/>
      <c r="K246" s="442"/>
      <c r="L246" s="442"/>
      <c r="M246" s="442"/>
      <c r="N246" s="442"/>
      <c r="O246" s="442"/>
      <c r="P246" s="442"/>
      <c r="Q246" s="442"/>
      <c r="R246" s="442"/>
    </row>
    <row r="247" spans="2:18" ht="19.5">
      <c r="B247" s="442"/>
      <c r="C247" s="442"/>
      <c r="D247" s="442"/>
      <c r="E247" s="327"/>
      <c r="F247" s="442"/>
      <c r="G247" s="44" t="s">
        <v>418</v>
      </c>
      <c r="H247" s="44" t="s">
        <v>419</v>
      </c>
      <c r="I247" s="45" t="s">
        <v>420</v>
      </c>
      <c r="J247" s="44"/>
      <c r="K247" s="44"/>
      <c r="L247" s="44"/>
      <c r="M247" s="44"/>
      <c r="N247" s="44"/>
      <c r="O247" s="44"/>
      <c r="P247" s="44"/>
      <c r="Q247" s="44"/>
      <c r="R247" s="46"/>
    </row>
    <row r="248" spans="2:18" ht="19.5">
      <c r="B248" s="140">
        <v>21459</v>
      </c>
      <c r="C248" s="141"/>
      <c r="D248" s="141"/>
      <c r="E248" s="141"/>
      <c r="F248" s="142">
        <f>G248+H248+I248+J248+K248+L248+M248+N248+O248+P248+Q248+R248</f>
        <v>655402</v>
      </c>
      <c r="G248" s="142">
        <v>3000</v>
      </c>
      <c r="H248" s="142">
        <f>238900+314500</f>
        <v>553400</v>
      </c>
      <c r="I248" s="142">
        <f>30500+63000</f>
        <v>93500</v>
      </c>
      <c r="J248" s="142">
        <v>5502</v>
      </c>
      <c r="K248" s="142"/>
      <c r="L248" s="142"/>
      <c r="M248" s="142"/>
      <c r="N248" s="142"/>
      <c r="O248" s="142"/>
      <c r="P248" s="142"/>
      <c r="Q248" s="142"/>
      <c r="R248" s="138"/>
    </row>
    <row r="249" spans="2:18" ht="19.5">
      <c r="B249" s="140">
        <v>21490</v>
      </c>
      <c r="C249" s="141"/>
      <c r="D249" s="141"/>
      <c r="E249" s="141"/>
      <c r="F249" s="142">
        <f aca="true" t="shared" si="16" ref="F249:F259">G249+H249+I249+J249+K249+L249+M249+N249+O249+P249+Q249+R249</f>
        <v>826202</v>
      </c>
      <c r="G249" s="142">
        <v>3000</v>
      </c>
      <c r="H249" s="142">
        <f>315900+236300</f>
        <v>552200</v>
      </c>
      <c r="I249" s="142">
        <f>63000+30500</f>
        <v>93500</v>
      </c>
      <c r="J249" s="142">
        <v>4800</v>
      </c>
      <c r="K249" s="142">
        <v>12200</v>
      </c>
      <c r="L249" s="142">
        <v>155000</v>
      </c>
      <c r="M249" s="142">
        <v>5502</v>
      </c>
      <c r="N249" s="142"/>
      <c r="O249" s="142"/>
      <c r="P249" s="142"/>
      <c r="Q249" s="142"/>
      <c r="R249" s="138"/>
    </row>
    <row r="250" spans="2:18" ht="19.5">
      <c r="B250" s="140">
        <v>21520</v>
      </c>
      <c r="C250" s="141"/>
      <c r="D250" s="141"/>
      <c r="E250" s="141"/>
      <c r="F250" s="142">
        <f t="shared" si="16"/>
        <v>678803</v>
      </c>
      <c r="G250" s="142">
        <v>3000</v>
      </c>
      <c r="H250" s="142">
        <f>235000+315800</f>
        <v>550800</v>
      </c>
      <c r="I250" s="142">
        <f>30000+62000</f>
        <v>92000</v>
      </c>
      <c r="J250" s="142">
        <v>27100</v>
      </c>
      <c r="K250" s="142">
        <v>4268</v>
      </c>
      <c r="L250" s="142">
        <v>1635</v>
      </c>
      <c r="M250" s="142"/>
      <c r="N250" s="142"/>
      <c r="O250" s="142"/>
      <c r="P250" s="142"/>
      <c r="Q250" s="142"/>
      <c r="R250" s="138"/>
    </row>
    <row r="251" spans="2:18" ht="19.5">
      <c r="B251" s="140">
        <v>21551</v>
      </c>
      <c r="C251" s="141"/>
      <c r="D251" s="141"/>
      <c r="E251" s="141"/>
      <c r="F251" s="142">
        <f t="shared" si="16"/>
        <v>892800</v>
      </c>
      <c r="G251" s="142">
        <v>3000</v>
      </c>
      <c r="H251" s="142">
        <f>316400+234400</f>
        <v>550800</v>
      </c>
      <c r="I251" s="142">
        <f>99200+48000</f>
        <v>147200</v>
      </c>
      <c r="J251" s="142">
        <v>0</v>
      </c>
      <c r="K251" s="142">
        <v>55200</v>
      </c>
      <c r="L251" s="142">
        <v>111600</v>
      </c>
      <c r="M251" s="142">
        <v>20000</v>
      </c>
      <c r="N251" s="142">
        <v>4550</v>
      </c>
      <c r="O251" s="142">
        <v>450</v>
      </c>
      <c r="P251" s="142"/>
      <c r="Q251" s="142"/>
      <c r="R251" s="138"/>
    </row>
    <row r="252" spans="2:18" ht="19.5">
      <c r="B252" s="140">
        <v>21582</v>
      </c>
      <c r="C252" s="141"/>
      <c r="D252" s="141"/>
      <c r="E252" s="141"/>
      <c r="F252" s="142">
        <f t="shared" si="16"/>
        <v>821288</v>
      </c>
      <c r="G252" s="142">
        <v>3000</v>
      </c>
      <c r="H252" s="142">
        <f>316800+232400</f>
        <v>549200</v>
      </c>
      <c r="I252" s="142">
        <f>47200+100000</f>
        <v>147200</v>
      </c>
      <c r="J252" s="142">
        <v>118200</v>
      </c>
      <c r="K252" s="142">
        <v>3688</v>
      </c>
      <c r="L252" s="142"/>
      <c r="M252" s="142"/>
      <c r="N252" s="142"/>
      <c r="O252" s="142"/>
      <c r="P252" s="142"/>
      <c r="Q252" s="142"/>
      <c r="R252" s="138"/>
    </row>
    <row r="253" spans="2:18" ht="19.5">
      <c r="B253" s="140">
        <v>21610</v>
      </c>
      <c r="C253" s="141"/>
      <c r="D253" s="141"/>
      <c r="E253" s="141"/>
      <c r="F253" s="142">
        <f t="shared" si="16"/>
        <v>703382</v>
      </c>
      <c r="G253" s="142">
        <v>3000</v>
      </c>
      <c r="H253" s="142">
        <f>231800+317400</f>
        <v>549200</v>
      </c>
      <c r="I253" s="142">
        <f>100000+47200</f>
        <v>147200</v>
      </c>
      <c r="J253" s="142">
        <v>294</v>
      </c>
      <c r="K253" s="142">
        <v>3688</v>
      </c>
      <c r="L253" s="142"/>
      <c r="M253" s="142"/>
      <c r="N253" s="142"/>
      <c r="O253" s="142"/>
      <c r="P253" s="142"/>
      <c r="Q253" s="142"/>
      <c r="R253" s="138"/>
    </row>
    <row r="254" spans="2:18" ht="19.5">
      <c r="B254" s="140">
        <v>21641</v>
      </c>
      <c r="C254" s="141"/>
      <c r="D254" s="141"/>
      <c r="E254" s="141"/>
      <c r="F254" s="142">
        <f t="shared" si="16"/>
        <v>715633</v>
      </c>
      <c r="G254" s="142">
        <v>3000</v>
      </c>
      <c r="H254" s="142">
        <f>231300+313500</f>
        <v>544800</v>
      </c>
      <c r="I254" s="142">
        <f>66000+97600</f>
        <v>163600</v>
      </c>
      <c r="J254" s="142">
        <v>4233</v>
      </c>
      <c r="K254" s="142"/>
      <c r="L254" s="142"/>
      <c r="M254" s="142"/>
      <c r="N254" s="142"/>
      <c r="O254" s="142"/>
      <c r="P254" s="142"/>
      <c r="Q254" s="142"/>
      <c r="R254" s="138"/>
    </row>
    <row r="255" spans="2:18" ht="19.5">
      <c r="B255" s="140">
        <v>21671</v>
      </c>
      <c r="C255" s="141"/>
      <c r="D255" s="141"/>
      <c r="E255" s="141"/>
      <c r="F255" s="142">
        <f t="shared" si="16"/>
        <v>696233</v>
      </c>
      <c r="G255" s="142">
        <v>3000</v>
      </c>
      <c r="H255" s="142">
        <f>314500+228900</f>
        <v>543400</v>
      </c>
      <c r="I255" s="142">
        <f>48000+97600</f>
        <v>145600</v>
      </c>
      <c r="J255" s="142">
        <v>4233</v>
      </c>
      <c r="K255" s="142"/>
      <c r="L255" s="142"/>
      <c r="M255" s="142"/>
      <c r="N255" s="142"/>
      <c r="O255" s="142"/>
      <c r="P255" s="142"/>
      <c r="Q255" s="142"/>
      <c r="R255" s="138"/>
    </row>
    <row r="256" spans="2:18" ht="19.5">
      <c r="B256" s="140">
        <v>21702</v>
      </c>
      <c r="C256" s="141"/>
      <c r="D256" s="141"/>
      <c r="E256" s="141"/>
      <c r="F256" s="142">
        <f t="shared" si="16"/>
        <v>695168</v>
      </c>
      <c r="G256" s="142">
        <v>3000</v>
      </c>
      <c r="H256" s="142">
        <f>308600+232100</f>
        <v>540700</v>
      </c>
      <c r="I256" s="142">
        <f>49600+96000</f>
        <v>145600</v>
      </c>
      <c r="J256" s="142">
        <v>4233</v>
      </c>
      <c r="K256" s="142">
        <v>1635</v>
      </c>
      <c r="L256" s="142"/>
      <c r="M256" s="142"/>
      <c r="N256" s="142"/>
      <c r="O256" s="142"/>
      <c r="P256" s="142"/>
      <c r="Q256" s="142"/>
      <c r="R256" s="138"/>
    </row>
    <row r="257" spans="2:18" ht="19.5">
      <c r="B257" s="140">
        <v>21732</v>
      </c>
      <c r="C257" s="141"/>
      <c r="D257" s="141"/>
      <c r="E257" s="141"/>
      <c r="F257" s="142">
        <f t="shared" si="16"/>
        <v>793975</v>
      </c>
      <c r="G257" s="142">
        <v>3000</v>
      </c>
      <c r="H257" s="142">
        <f>308600+230800</f>
        <v>539400</v>
      </c>
      <c r="I257" s="142">
        <f>95200+49600</f>
        <v>144800</v>
      </c>
      <c r="J257" s="142">
        <v>8175</v>
      </c>
      <c r="K257" s="142">
        <v>98600</v>
      </c>
      <c r="L257" s="142"/>
      <c r="M257" s="142"/>
      <c r="N257" s="142"/>
      <c r="O257" s="142"/>
      <c r="P257" s="142"/>
      <c r="Q257" s="142"/>
      <c r="R257" s="138"/>
    </row>
    <row r="258" spans="2:18" ht="19.5">
      <c r="B258" s="140">
        <v>21763</v>
      </c>
      <c r="C258" s="141"/>
      <c r="D258" s="141"/>
      <c r="E258" s="141"/>
      <c r="F258" s="142">
        <f t="shared" si="16"/>
        <v>686950</v>
      </c>
      <c r="G258" s="142">
        <v>3000</v>
      </c>
      <c r="H258" s="142">
        <f>308500+227600</f>
        <v>536100</v>
      </c>
      <c r="I258" s="142">
        <f>96000+48000</f>
        <v>144000</v>
      </c>
      <c r="J258" s="142">
        <v>3850</v>
      </c>
      <c r="K258" s="142"/>
      <c r="L258" s="142"/>
      <c r="M258" s="142"/>
      <c r="N258" s="142"/>
      <c r="O258" s="142"/>
      <c r="P258" s="142"/>
      <c r="Q258" s="142"/>
      <c r="R258" s="138"/>
    </row>
    <row r="259" spans="2:18" ht="19.5">
      <c r="B259" s="140">
        <v>21794</v>
      </c>
      <c r="C259" s="141"/>
      <c r="D259" s="141"/>
      <c r="E259" s="141"/>
      <c r="F259" s="142">
        <f t="shared" si="16"/>
        <v>690189</v>
      </c>
      <c r="G259" s="142">
        <v>3000</v>
      </c>
      <c r="H259" s="142">
        <f>226400+308400</f>
        <v>534800</v>
      </c>
      <c r="I259" s="142">
        <f>48000+96000</f>
        <v>144000</v>
      </c>
      <c r="J259" s="142">
        <v>0</v>
      </c>
      <c r="K259" s="142">
        <v>88</v>
      </c>
      <c r="L259" s="142">
        <v>8301</v>
      </c>
      <c r="M259" s="142"/>
      <c r="N259" s="142"/>
      <c r="O259" s="142"/>
      <c r="P259" s="142"/>
      <c r="Q259" s="142"/>
      <c r="R259" s="138"/>
    </row>
    <row r="260" spans="2:18" ht="19.5">
      <c r="B260" s="141"/>
      <c r="C260" s="141" t="s">
        <v>196</v>
      </c>
      <c r="D260" s="141" t="s">
        <v>196</v>
      </c>
      <c r="E260" s="141"/>
      <c r="F260" s="142">
        <f>SUM(F248:F259)</f>
        <v>8856025</v>
      </c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38"/>
    </row>
    <row r="261" spans="2:18" ht="19.5">
      <c r="B261" s="141"/>
      <c r="C261" s="141"/>
      <c r="D261" s="141"/>
      <c r="E261" s="141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38"/>
    </row>
    <row r="262" spans="2:17" ht="19.5"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</row>
  </sheetData>
  <sheetProtection/>
  <mergeCells count="47">
    <mergeCell ref="F4:F5"/>
    <mergeCell ref="F78:F79"/>
    <mergeCell ref="B75:R75"/>
    <mergeCell ref="B76:R76"/>
    <mergeCell ref="B78:B79"/>
    <mergeCell ref="C43:C44"/>
    <mergeCell ref="G43:R43"/>
    <mergeCell ref="G78:R78"/>
    <mergeCell ref="D78:D79"/>
    <mergeCell ref="D182:D183"/>
    <mergeCell ref="D214:D215"/>
    <mergeCell ref="D246:D247"/>
    <mergeCell ref="D4:D5"/>
    <mergeCell ref="C4:C5"/>
    <mergeCell ref="B246:B247"/>
    <mergeCell ref="C246:C247"/>
    <mergeCell ref="B74:R74"/>
    <mergeCell ref="D43:D44"/>
    <mergeCell ref="F43:F44"/>
    <mergeCell ref="F246:F247"/>
    <mergeCell ref="G246:R246"/>
    <mergeCell ref="B182:B183"/>
    <mergeCell ref="C182:C183"/>
    <mergeCell ref="F182:F183"/>
    <mergeCell ref="G182:R182"/>
    <mergeCell ref="B214:B215"/>
    <mergeCell ref="C214:C215"/>
    <mergeCell ref="F214:F215"/>
    <mergeCell ref="G214:R214"/>
    <mergeCell ref="B1:R1"/>
    <mergeCell ref="B2:R2"/>
    <mergeCell ref="B3:R3"/>
    <mergeCell ref="B4:B5"/>
    <mergeCell ref="G4:R4"/>
    <mergeCell ref="C78:C79"/>
    <mergeCell ref="B40:R40"/>
    <mergeCell ref="B41:R41"/>
    <mergeCell ref="B42:R42"/>
    <mergeCell ref="B43:B44"/>
    <mergeCell ref="B113:R113"/>
    <mergeCell ref="B114:R114"/>
    <mergeCell ref="B115:R115"/>
    <mergeCell ref="B116:B117"/>
    <mergeCell ref="C116:C117"/>
    <mergeCell ref="F116:F117"/>
    <mergeCell ref="G116:R116"/>
    <mergeCell ref="D116:D117"/>
  </mergeCells>
  <printOptions/>
  <pageMargins left="0.31496062992125984" right="0.31496062992125984" top="0.7480314960629921" bottom="0.35433070866141736" header="0.31496062992125984" footer="0.31496062992125984"/>
  <pageSetup horizontalDpi="300" verticalDpi="3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T42"/>
  <sheetViews>
    <sheetView zoomScale="80" zoomScaleNormal="80" zoomScalePageLayoutView="0" workbookViewId="0" topLeftCell="A1">
      <selection activeCell="J26" sqref="J26"/>
    </sheetView>
  </sheetViews>
  <sheetFormatPr defaultColWidth="9.00390625" defaultRowHeight="15"/>
  <cols>
    <col min="1" max="1" width="9.00390625" style="1" customWidth="1"/>
    <col min="2" max="2" width="20.8515625" style="187" customWidth="1"/>
    <col min="3" max="4" width="13.421875" style="1" customWidth="1"/>
    <col min="5" max="5" width="11.8515625" style="1" customWidth="1"/>
    <col min="6" max="6" width="10.140625" style="1" customWidth="1"/>
    <col min="7" max="7" width="13.421875" style="1" customWidth="1"/>
    <col min="8" max="8" width="11.00390625" style="1" customWidth="1"/>
    <col min="9" max="9" width="9.421875" style="1" customWidth="1"/>
    <col min="10" max="10" width="10.421875" style="1" customWidth="1"/>
    <col min="11" max="11" width="8.8515625" style="1" customWidth="1"/>
    <col min="12" max="12" width="8.421875" style="1" customWidth="1"/>
    <col min="13" max="13" width="9.7109375" style="1" customWidth="1"/>
    <col min="14" max="14" width="9.57421875" style="1" customWidth="1"/>
    <col min="15" max="15" width="10.8515625" style="1" customWidth="1"/>
    <col min="16" max="16" width="11.421875" style="1" customWidth="1"/>
    <col min="17" max="17" width="9.421875" style="1" customWidth="1"/>
    <col min="18" max="18" width="7.421875" style="1" customWidth="1"/>
    <col min="19" max="19" width="12.421875" style="1" customWidth="1"/>
    <col min="20" max="16384" width="9.00390625" style="1" customWidth="1"/>
  </cols>
  <sheetData>
    <row r="1" spans="2:19" ht="19.5" customHeight="1">
      <c r="B1" s="441" t="str">
        <f>+งบแสดงฐานะการเงิน!A1</f>
        <v>องค์การบริหารส่วนตำบลคอกควาย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</row>
    <row r="2" spans="2:19" ht="18.75" customHeight="1">
      <c r="B2" s="441" t="s">
        <v>261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</row>
    <row r="3" spans="2:20" ht="18.75" customHeight="1">
      <c r="B3" s="441" t="s">
        <v>651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</row>
    <row r="4" spans="2:19" ht="19.5">
      <c r="B4" s="445" t="s">
        <v>652</v>
      </c>
      <c r="C4" s="438" t="s">
        <v>59</v>
      </c>
      <c r="D4" s="332"/>
      <c r="E4" s="331"/>
      <c r="F4" s="378"/>
      <c r="G4" s="439" t="s">
        <v>196</v>
      </c>
      <c r="H4" s="442" t="s">
        <v>198</v>
      </c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</row>
    <row r="5" spans="1:19" s="48" customFormat="1" ht="90.75" customHeight="1">
      <c r="A5" s="362"/>
      <c r="B5" s="445"/>
      <c r="C5" s="442"/>
      <c r="D5" s="334" t="s">
        <v>653</v>
      </c>
      <c r="E5" s="334" t="s">
        <v>654</v>
      </c>
      <c r="F5" s="334" t="s">
        <v>667</v>
      </c>
      <c r="G5" s="442"/>
      <c r="H5" s="278" t="s">
        <v>239</v>
      </c>
      <c r="I5" s="278" t="s">
        <v>240</v>
      </c>
      <c r="J5" s="351" t="s">
        <v>241</v>
      </c>
      <c r="K5" s="278" t="s">
        <v>249</v>
      </c>
      <c r="L5" s="278" t="s">
        <v>242</v>
      </c>
      <c r="M5" s="278" t="s">
        <v>243</v>
      </c>
      <c r="N5" s="278" t="s">
        <v>244</v>
      </c>
      <c r="O5" s="278" t="s">
        <v>245</v>
      </c>
      <c r="P5" s="278" t="s">
        <v>246</v>
      </c>
      <c r="Q5" s="278" t="s">
        <v>247</v>
      </c>
      <c r="R5" s="278" t="s">
        <v>248</v>
      </c>
      <c r="S5" s="352" t="s">
        <v>154</v>
      </c>
    </row>
    <row r="6" spans="1:19" s="48" customFormat="1" ht="18.75" customHeight="1">
      <c r="A6" s="362"/>
      <c r="B6" s="346" t="s">
        <v>64</v>
      </c>
      <c r="C6" s="62"/>
      <c r="D6" s="62"/>
      <c r="E6" s="62"/>
      <c r="F6" s="63"/>
      <c r="G6" s="65"/>
      <c r="H6" s="64"/>
      <c r="I6" s="64"/>
      <c r="J6" s="63"/>
      <c r="K6" s="64"/>
      <c r="L6" s="64"/>
      <c r="M6" s="64"/>
      <c r="N6" s="64"/>
      <c r="O6" s="64"/>
      <c r="P6" s="64"/>
      <c r="Q6" s="64"/>
      <c r="R6" s="64"/>
      <c r="S6" s="64"/>
    </row>
    <row r="7" spans="1:19" s="48" customFormat="1" ht="18.75" customHeight="1">
      <c r="A7" s="362"/>
      <c r="B7" s="338" t="s">
        <v>154</v>
      </c>
      <c r="C7" s="182">
        <v>10859300</v>
      </c>
      <c r="D7" s="185">
        <f aca="true" t="shared" si="0" ref="D7:D15">G7</f>
        <v>10333896</v>
      </c>
      <c r="E7" s="66"/>
      <c r="F7" s="353"/>
      <c r="G7" s="53">
        <f aca="true" t="shared" si="1" ref="G7:G17">SUM(H7:S7)</f>
        <v>10333896</v>
      </c>
      <c r="H7" s="354"/>
      <c r="I7" s="354"/>
      <c r="J7" s="355"/>
      <c r="K7" s="354"/>
      <c r="L7" s="354"/>
      <c r="M7" s="354"/>
      <c r="N7" s="354"/>
      <c r="O7" s="354"/>
      <c r="P7" s="354"/>
      <c r="Q7" s="354"/>
      <c r="R7" s="354"/>
      <c r="S7" s="354">
        <v>10333896</v>
      </c>
    </row>
    <row r="8" spans="1:19" s="48" customFormat="1" ht="18.75" customHeight="1">
      <c r="A8" s="362"/>
      <c r="B8" s="131" t="s">
        <v>217</v>
      </c>
      <c r="C8" s="175">
        <v>3607920</v>
      </c>
      <c r="D8" s="70">
        <f t="shared" si="0"/>
        <v>3607920</v>
      </c>
      <c r="E8" s="70"/>
      <c r="F8" s="356"/>
      <c r="G8" s="53">
        <f t="shared" si="1"/>
        <v>3607920</v>
      </c>
      <c r="H8" s="356">
        <v>3607920</v>
      </c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</row>
    <row r="9" spans="1:19" s="48" customFormat="1" ht="18.75" customHeight="1">
      <c r="A9" s="362"/>
      <c r="B9" s="131" t="s">
        <v>218</v>
      </c>
      <c r="C9" s="175">
        <v>7381000</v>
      </c>
      <c r="D9" s="70">
        <f t="shared" si="0"/>
        <v>5238045.5</v>
      </c>
      <c r="E9" s="70"/>
      <c r="F9" s="356"/>
      <c r="G9" s="53">
        <f t="shared" si="1"/>
        <v>5238045.5</v>
      </c>
      <c r="H9" s="356">
        <v>2808853</v>
      </c>
      <c r="I9" s="356">
        <v>296520</v>
      </c>
      <c r="J9" s="356">
        <v>1875812.5</v>
      </c>
      <c r="K9" s="356">
        <v>0</v>
      </c>
      <c r="L9" s="356">
        <v>0</v>
      </c>
      <c r="M9" s="356">
        <v>256860</v>
      </c>
      <c r="N9" s="356"/>
      <c r="O9" s="356"/>
      <c r="P9" s="356"/>
      <c r="Q9" s="356"/>
      <c r="R9" s="356"/>
      <c r="S9" s="356"/>
    </row>
    <row r="10" spans="1:19" s="48" customFormat="1" ht="18.75" customHeight="1">
      <c r="A10" s="362"/>
      <c r="B10" s="339" t="s">
        <v>149</v>
      </c>
      <c r="C10" s="54">
        <v>625000</v>
      </c>
      <c r="D10" s="54">
        <f t="shared" si="0"/>
        <v>344200</v>
      </c>
      <c r="E10" s="54"/>
      <c r="F10" s="356"/>
      <c r="G10" s="53">
        <f t="shared" si="1"/>
        <v>344200</v>
      </c>
      <c r="H10" s="356">
        <v>254750</v>
      </c>
      <c r="I10" s="356">
        <v>0</v>
      </c>
      <c r="J10" s="356">
        <v>44400</v>
      </c>
      <c r="K10" s="356">
        <v>0</v>
      </c>
      <c r="L10" s="356">
        <v>0</v>
      </c>
      <c r="M10" s="356">
        <v>45050</v>
      </c>
      <c r="N10" s="356"/>
      <c r="O10" s="356"/>
      <c r="P10" s="356"/>
      <c r="Q10" s="356"/>
      <c r="R10" s="356"/>
      <c r="S10" s="356"/>
    </row>
    <row r="11" spans="1:19" s="48" customFormat="1" ht="18.75" customHeight="1">
      <c r="A11" s="362"/>
      <c r="B11" s="339" t="s">
        <v>150</v>
      </c>
      <c r="C11" s="54">
        <v>4271400</v>
      </c>
      <c r="D11" s="54">
        <f t="shared" si="0"/>
        <v>2863459.77</v>
      </c>
      <c r="E11" s="54"/>
      <c r="F11" s="356"/>
      <c r="G11" s="53">
        <f t="shared" si="1"/>
        <v>2863459.77</v>
      </c>
      <c r="H11" s="356">
        <v>1046239.77</v>
      </c>
      <c r="I11" s="356">
        <v>109525</v>
      </c>
      <c r="J11" s="356">
        <v>1115522</v>
      </c>
      <c r="K11" s="356">
        <v>0</v>
      </c>
      <c r="L11" s="356">
        <v>0</v>
      </c>
      <c r="M11" s="356">
        <v>476333</v>
      </c>
      <c r="N11" s="356">
        <v>27600</v>
      </c>
      <c r="O11" s="356">
        <v>48740</v>
      </c>
      <c r="P11" s="356">
        <v>0</v>
      </c>
      <c r="Q11" s="356">
        <v>39500</v>
      </c>
      <c r="R11" s="356"/>
      <c r="S11" s="356"/>
    </row>
    <row r="12" spans="1:19" s="48" customFormat="1" ht="18.75" customHeight="1">
      <c r="A12" s="362"/>
      <c r="B12" s="339" t="s">
        <v>151</v>
      </c>
      <c r="C12" s="54">
        <v>3027680</v>
      </c>
      <c r="D12" s="54">
        <f t="shared" si="0"/>
        <v>2528222.18</v>
      </c>
      <c r="E12" s="54"/>
      <c r="F12" s="356"/>
      <c r="G12" s="53">
        <f t="shared" si="1"/>
        <v>2528222.18</v>
      </c>
      <c r="H12" s="356">
        <v>452037.6</v>
      </c>
      <c r="I12" s="356">
        <v>20555.5</v>
      </c>
      <c r="J12" s="356">
        <v>1660392.08</v>
      </c>
      <c r="K12" s="356">
        <v>99600</v>
      </c>
      <c r="L12" s="356">
        <v>48631</v>
      </c>
      <c r="M12" s="356">
        <v>215006</v>
      </c>
      <c r="N12" s="356">
        <v>0</v>
      </c>
      <c r="O12" s="356">
        <v>32000</v>
      </c>
      <c r="P12" s="356"/>
      <c r="Q12" s="356"/>
      <c r="R12" s="356"/>
      <c r="S12" s="356"/>
    </row>
    <row r="13" spans="1:19" s="48" customFormat="1" ht="18.75" customHeight="1">
      <c r="A13" s="362"/>
      <c r="B13" s="339" t="s">
        <v>220</v>
      </c>
      <c r="C13" s="54">
        <v>587000</v>
      </c>
      <c r="D13" s="54">
        <f t="shared" si="0"/>
        <v>428630.68999999994</v>
      </c>
      <c r="E13" s="54"/>
      <c r="F13" s="356"/>
      <c r="G13" s="53">
        <f t="shared" si="1"/>
        <v>428630.68999999994</v>
      </c>
      <c r="H13" s="356">
        <v>337316.66</v>
      </c>
      <c r="I13" s="356">
        <v>0</v>
      </c>
      <c r="J13" s="356">
        <v>91314.03</v>
      </c>
      <c r="K13" s="356"/>
      <c r="L13" s="356"/>
      <c r="M13" s="356"/>
      <c r="N13" s="356"/>
      <c r="O13" s="356"/>
      <c r="P13" s="356"/>
      <c r="Q13" s="356"/>
      <c r="R13" s="356"/>
      <c r="S13" s="356"/>
    </row>
    <row r="14" spans="1:19" s="48" customFormat="1" ht="18.75" customHeight="1">
      <c r="A14" s="362"/>
      <c r="B14" s="339" t="s">
        <v>250</v>
      </c>
      <c r="C14" s="54">
        <v>1225700</v>
      </c>
      <c r="D14" s="54">
        <f t="shared" si="0"/>
        <v>1509308</v>
      </c>
      <c r="E14" s="54">
        <v>319288</v>
      </c>
      <c r="F14" s="356"/>
      <c r="G14" s="53">
        <f>E14+H14+J14+M14+O14</f>
        <v>1509308</v>
      </c>
      <c r="H14" s="357">
        <v>831960</v>
      </c>
      <c r="I14" s="357">
        <v>0</v>
      </c>
      <c r="J14" s="357">
        <v>141260</v>
      </c>
      <c r="K14" s="357">
        <v>0</v>
      </c>
      <c r="L14" s="357">
        <v>0</v>
      </c>
      <c r="M14" s="357">
        <v>18800</v>
      </c>
      <c r="N14" s="357">
        <v>0</v>
      </c>
      <c r="O14" s="357">
        <v>198000</v>
      </c>
      <c r="P14" s="357"/>
      <c r="Q14" s="356"/>
      <c r="R14" s="356"/>
      <c r="S14" s="356"/>
    </row>
    <row r="15" spans="1:19" s="48" customFormat="1" ht="18.75" customHeight="1">
      <c r="A15" s="362"/>
      <c r="B15" s="339" t="s">
        <v>251</v>
      </c>
      <c r="C15" s="54">
        <v>2881000</v>
      </c>
      <c r="D15" s="54">
        <f t="shared" si="0"/>
        <v>11866535</v>
      </c>
      <c r="E15" s="54"/>
      <c r="F15" s="356">
        <v>9185535</v>
      </c>
      <c r="G15" s="53">
        <f>F15+P15</f>
        <v>11866535</v>
      </c>
      <c r="H15" s="357"/>
      <c r="I15" s="357"/>
      <c r="J15" s="357"/>
      <c r="K15" s="357"/>
      <c r="L15" s="357"/>
      <c r="M15" s="357"/>
      <c r="N15" s="357"/>
      <c r="O15" s="357"/>
      <c r="P15" s="357">
        <f>2681000</f>
        <v>2681000</v>
      </c>
      <c r="Q15" s="356"/>
      <c r="R15" s="356"/>
      <c r="S15" s="356"/>
    </row>
    <row r="16" spans="1:19" s="48" customFormat="1" ht="18.75" customHeight="1">
      <c r="A16" s="362"/>
      <c r="B16" s="339" t="s">
        <v>153</v>
      </c>
      <c r="C16" s="54">
        <v>0</v>
      </c>
      <c r="D16" s="54"/>
      <c r="E16" s="54"/>
      <c r="F16" s="356"/>
      <c r="G16" s="53">
        <f t="shared" si="1"/>
        <v>0</v>
      </c>
      <c r="H16" s="357"/>
      <c r="I16" s="357"/>
      <c r="J16" s="357"/>
      <c r="K16" s="357"/>
      <c r="L16" s="357"/>
      <c r="M16" s="357"/>
      <c r="N16" s="357"/>
      <c r="O16" s="357"/>
      <c r="P16" s="357"/>
      <c r="Q16" s="356"/>
      <c r="R16" s="356"/>
      <c r="S16" s="356"/>
    </row>
    <row r="17" spans="1:19" s="48" customFormat="1" ht="18.75" customHeight="1">
      <c r="A17" s="362"/>
      <c r="B17" s="340" t="s">
        <v>56</v>
      </c>
      <c r="C17" s="54">
        <v>3374000</v>
      </c>
      <c r="D17" s="57">
        <f>G17</f>
        <v>3244264.41</v>
      </c>
      <c r="E17" s="57"/>
      <c r="F17" s="358"/>
      <c r="G17" s="55">
        <f t="shared" si="1"/>
        <v>3244264.41</v>
      </c>
      <c r="H17" s="359">
        <v>1533264.41</v>
      </c>
      <c r="I17" s="359">
        <v>0</v>
      </c>
      <c r="J17" s="359">
        <v>1431000</v>
      </c>
      <c r="K17" s="359">
        <v>280000</v>
      </c>
      <c r="L17" s="359"/>
      <c r="M17" s="359"/>
      <c r="N17" s="359"/>
      <c r="O17" s="359"/>
      <c r="P17" s="359"/>
      <c r="Q17" s="358"/>
      <c r="R17" s="358"/>
      <c r="S17" s="358"/>
    </row>
    <row r="18" spans="1:19" s="48" customFormat="1" ht="18.75" customHeight="1" thickBot="1">
      <c r="A18" s="362"/>
      <c r="B18" s="347" t="s">
        <v>252</v>
      </c>
      <c r="C18" s="73">
        <f>SUM(C7:C17)</f>
        <v>37840000</v>
      </c>
      <c r="D18" s="73">
        <f>SUM(D7:D17)</f>
        <v>41964481.55</v>
      </c>
      <c r="E18" s="73">
        <v>319288</v>
      </c>
      <c r="F18" s="360">
        <v>9185535</v>
      </c>
      <c r="G18" s="74">
        <f>G7+G8+G9+G10+G11+G12+G13++G14+G15+G17</f>
        <v>41964481.55</v>
      </c>
      <c r="H18" s="361">
        <f aca="true" t="shared" si="2" ref="H18:Q18">SUM(H7:H17)</f>
        <v>10872341.44</v>
      </c>
      <c r="I18" s="361">
        <f t="shared" si="2"/>
        <v>426600.5</v>
      </c>
      <c r="J18" s="361">
        <f t="shared" si="2"/>
        <v>6359700.61</v>
      </c>
      <c r="K18" s="361">
        <f t="shared" si="2"/>
        <v>379600</v>
      </c>
      <c r="L18" s="361">
        <f t="shared" si="2"/>
        <v>48631</v>
      </c>
      <c r="M18" s="361">
        <f t="shared" si="2"/>
        <v>1012049</v>
      </c>
      <c r="N18" s="361">
        <f t="shared" si="2"/>
        <v>27600</v>
      </c>
      <c r="O18" s="361">
        <f t="shared" si="2"/>
        <v>278740</v>
      </c>
      <c r="P18" s="361">
        <f t="shared" si="2"/>
        <v>2681000</v>
      </c>
      <c r="Q18" s="361">
        <f t="shared" si="2"/>
        <v>39500</v>
      </c>
      <c r="R18" s="361"/>
      <c r="S18" s="361">
        <f>SUM(S7:S17)</f>
        <v>10333896</v>
      </c>
    </row>
    <row r="19" spans="1:19" s="48" customFormat="1" ht="18.75" customHeight="1" thickTop="1">
      <c r="A19" s="362"/>
      <c r="B19" s="348" t="s">
        <v>63</v>
      </c>
      <c r="C19" s="71"/>
      <c r="D19" s="71"/>
      <c r="E19" s="71"/>
      <c r="F19" s="69"/>
      <c r="G19" s="69"/>
      <c r="H19" s="72"/>
      <c r="I19" s="72"/>
      <c r="J19" s="69"/>
      <c r="K19" s="72"/>
      <c r="L19" s="72"/>
      <c r="M19" s="72"/>
      <c r="N19" s="72"/>
      <c r="O19" s="72"/>
      <c r="P19" s="72"/>
      <c r="Q19" s="72"/>
      <c r="R19" s="72"/>
      <c r="S19" s="72"/>
    </row>
    <row r="20" spans="2:19" ht="18.75" customHeight="1">
      <c r="B20" s="131" t="s">
        <v>253</v>
      </c>
      <c r="C20" s="70">
        <v>100000</v>
      </c>
      <c r="D20" s="70"/>
      <c r="E20" s="70"/>
      <c r="F20" s="53"/>
      <c r="G20" s="53">
        <v>170859.24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2:19" ht="18.75" customHeight="1">
      <c r="B21" s="179" t="s">
        <v>254</v>
      </c>
      <c r="C21" s="70">
        <v>500000</v>
      </c>
      <c r="D21" s="70"/>
      <c r="E21" s="70"/>
      <c r="F21" s="53"/>
      <c r="G21" s="53">
        <v>17429.2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2:19" ht="18.75" customHeight="1">
      <c r="B22" s="337" t="s">
        <v>255</v>
      </c>
      <c r="C22" s="54">
        <v>180000</v>
      </c>
      <c r="D22" s="54"/>
      <c r="E22" s="54"/>
      <c r="F22" s="53"/>
      <c r="G22" s="53">
        <v>226824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2:19" ht="18.75" customHeight="1">
      <c r="B23" s="339" t="s">
        <v>258</v>
      </c>
      <c r="C23" s="54">
        <v>200000</v>
      </c>
      <c r="D23" s="54"/>
      <c r="E23" s="54"/>
      <c r="F23" s="53"/>
      <c r="G23" s="53">
        <v>329158.99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2:19" ht="18.75" customHeight="1">
      <c r="B24" s="339" t="s">
        <v>256</v>
      </c>
      <c r="C24" s="54">
        <v>20000</v>
      </c>
      <c r="D24" s="54"/>
      <c r="E24" s="54"/>
      <c r="F24" s="53"/>
      <c r="G24" s="53">
        <v>57443.36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</row>
    <row r="25" spans="2:19" ht="18.75" customHeight="1">
      <c r="B25" s="339" t="s">
        <v>257</v>
      </c>
      <c r="C25" s="54">
        <v>0</v>
      </c>
      <c r="D25" s="54"/>
      <c r="E25" s="54"/>
      <c r="F25" s="53"/>
      <c r="G25" s="53">
        <f>SUM(H25:S25)</f>
        <v>0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2:19" ht="18.75" customHeight="1">
      <c r="B26" s="339" t="s">
        <v>168</v>
      </c>
      <c r="C26" s="54">
        <v>13100000</v>
      </c>
      <c r="D26" s="54"/>
      <c r="E26" s="54"/>
      <c r="F26" s="53"/>
      <c r="G26" s="53">
        <v>19357467.01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</row>
    <row r="27" spans="2:19" ht="18.75" customHeight="1">
      <c r="B27" s="339" t="s">
        <v>169</v>
      </c>
      <c r="C27" s="54">
        <v>23740000</v>
      </c>
      <c r="D27" s="54"/>
      <c r="E27" s="54"/>
      <c r="F27" s="53"/>
      <c r="G27" s="53">
        <v>22318297</v>
      </c>
      <c r="H27" s="54"/>
      <c r="I27" s="54"/>
      <c r="J27" s="54"/>
      <c r="K27" s="54"/>
      <c r="L27" s="54"/>
      <c r="M27" s="54"/>
      <c r="N27" s="54"/>
      <c r="O27" s="54"/>
      <c r="P27" s="54"/>
      <c r="Q27" s="53"/>
      <c r="R27" s="53"/>
      <c r="S27" s="53"/>
    </row>
    <row r="28" spans="2:19" ht="18.75" customHeight="1">
      <c r="B28" s="337" t="s">
        <v>259</v>
      </c>
      <c r="C28" s="54"/>
      <c r="D28" s="54"/>
      <c r="E28" s="54">
        <v>319288</v>
      </c>
      <c r="F28" s="53"/>
      <c r="G28" s="53">
        <v>319288</v>
      </c>
      <c r="H28" s="54"/>
      <c r="I28" s="54"/>
      <c r="J28" s="54"/>
      <c r="K28" s="54"/>
      <c r="L28" s="54"/>
      <c r="M28" s="54"/>
      <c r="N28" s="54"/>
      <c r="O28" s="54"/>
      <c r="P28" s="54"/>
      <c r="Q28" s="53"/>
      <c r="R28" s="53"/>
      <c r="S28" s="53"/>
    </row>
    <row r="29" spans="2:19" ht="18.75" customHeight="1" thickBot="1">
      <c r="B29" s="349" t="s">
        <v>69</v>
      </c>
      <c r="C29" s="78">
        <f aca="true" t="shared" si="3" ref="C29:S29">SUM(C20:C28)</f>
        <v>37840000</v>
      </c>
      <c r="D29" s="78"/>
      <c r="E29" s="78">
        <v>319288</v>
      </c>
      <c r="F29" s="77"/>
      <c r="G29" s="77">
        <f>SUM(G20:G28)</f>
        <v>42796766.8</v>
      </c>
      <c r="H29" s="77">
        <f t="shared" si="3"/>
        <v>0</v>
      </c>
      <c r="I29" s="77">
        <f t="shared" si="3"/>
        <v>0</v>
      </c>
      <c r="J29" s="77">
        <f t="shared" si="3"/>
        <v>0</v>
      </c>
      <c r="K29" s="77">
        <f t="shared" si="3"/>
        <v>0</v>
      </c>
      <c r="L29" s="77">
        <f t="shared" si="3"/>
        <v>0</v>
      </c>
      <c r="M29" s="77">
        <f t="shared" si="3"/>
        <v>0</v>
      </c>
      <c r="N29" s="77">
        <f t="shared" si="3"/>
        <v>0</v>
      </c>
      <c r="O29" s="77">
        <f t="shared" si="3"/>
        <v>0</v>
      </c>
      <c r="P29" s="77">
        <f t="shared" si="3"/>
        <v>0</v>
      </c>
      <c r="Q29" s="77">
        <f t="shared" si="3"/>
        <v>0</v>
      </c>
      <c r="R29" s="77">
        <f t="shared" si="3"/>
        <v>0</v>
      </c>
      <c r="S29" s="77">
        <f t="shared" si="3"/>
        <v>0</v>
      </c>
    </row>
    <row r="30" spans="2:7" ht="21" thickBot="1" thickTop="1">
      <c r="B30" s="324" t="s">
        <v>260</v>
      </c>
      <c r="F30" s="344"/>
      <c r="G30" s="343">
        <f>+G29-G18</f>
        <v>832285.25</v>
      </c>
    </row>
    <row r="31" spans="2:7" ht="20.25" thickTop="1">
      <c r="B31" s="324"/>
      <c r="F31" s="335"/>
      <c r="G31" s="335"/>
    </row>
    <row r="32" ht="19.5">
      <c r="B32" s="350"/>
    </row>
    <row r="33" ht="19.5">
      <c r="B33" s="350"/>
    </row>
    <row r="34" ht="19.5">
      <c r="B34" s="350"/>
    </row>
    <row r="36" spans="3:14" ht="21">
      <c r="C36" s="7" t="s">
        <v>655</v>
      </c>
      <c r="H36" s="7" t="s">
        <v>669</v>
      </c>
      <c r="N36" s="7" t="s">
        <v>666</v>
      </c>
    </row>
    <row r="37" spans="2:14" ht="21">
      <c r="B37" s="350"/>
      <c r="C37" s="7" t="s">
        <v>656</v>
      </c>
      <c r="H37" s="7" t="s">
        <v>657</v>
      </c>
      <c r="N37" s="7" t="s">
        <v>665</v>
      </c>
    </row>
    <row r="39" spans="6:15" ht="20.25" thickBot="1">
      <c r="F39" s="345"/>
      <c r="G39" s="109"/>
      <c r="O39" s="109"/>
    </row>
    <row r="40" ht="20.25" thickTop="1"/>
    <row r="41" spans="3:17" ht="20.25" thickBot="1">
      <c r="C41" s="110"/>
      <c r="D41" s="110"/>
      <c r="E41" s="110"/>
      <c r="I41" s="109"/>
      <c r="N41" s="110"/>
      <c r="Q41" s="109"/>
    </row>
    <row r="42" spans="9:18" ht="21" thickBot="1" thickTop="1">
      <c r="I42" s="111"/>
      <c r="Q42" s="111"/>
      <c r="R42" s="1" t="s">
        <v>366</v>
      </c>
    </row>
    <row r="43" ht="20.25" thickTop="1"/>
  </sheetData>
  <sheetProtection/>
  <mergeCells count="7">
    <mergeCell ref="B1:S1"/>
    <mergeCell ref="B2:S2"/>
    <mergeCell ref="B4:B5"/>
    <mergeCell ref="C4:C5"/>
    <mergeCell ref="G4:G5"/>
    <mergeCell ref="H4:S4"/>
    <mergeCell ref="B3:T3"/>
  </mergeCells>
  <printOptions/>
  <pageMargins left="0.31496062992125984" right="0.31496062992125984" top="0.7480314960629921" bottom="0.35433070866141736" header="0.31496062992125984" footer="0.31496062992125984"/>
  <pageSetup horizontalDpi="300" verticalDpi="300" orientation="landscape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41"/>
  <sheetViews>
    <sheetView zoomScale="70" zoomScaleNormal="70" zoomScalePageLayoutView="0" workbookViewId="0" topLeftCell="A58">
      <selection activeCell="F19" sqref="F19"/>
    </sheetView>
  </sheetViews>
  <sheetFormatPr defaultColWidth="9.00390625" defaultRowHeight="15"/>
  <cols>
    <col min="1" max="1" width="32.8515625" style="1" bestFit="1" customWidth="1"/>
    <col min="2" max="2" width="16.57421875" style="1" customWidth="1"/>
    <col min="3" max="3" width="15.57421875" style="1" customWidth="1"/>
    <col min="4" max="13" width="12.57421875" style="1" customWidth="1"/>
    <col min="14" max="14" width="13.00390625" style="1" customWidth="1"/>
    <col min="15" max="15" width="11.57421875" style="1" customWidth="1"/>
    <col min="16" max="16384" width="9.00390625" style="1" customWidth="1"/>
  </cols>
  <sheetData>
    <row r="1" spans="1:15" ht="19.5">
      <c r="A1" s="441" t="str">
        <f>+งบแสดงฐานะการเงิน!A1</f>
        <v>องค์การบริหารส่วนตำบลคอกควาย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</row>
    <row r="2" spans="1:15" ht="19.5">
      <c r="A2" s="441" t="s">
        <v>262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spans="1:16" ht="19.5">
      <c r="A3" s="441" t="s">
        <v>639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</row>
    <row r="5" spans="1:15" ht="19.5">
      <c r="A5" s="442" t="s">
        <v>62</v>
      </c>
      <c r="B5" s="442" t="s">
        <v>59</v>
      </c>
      <c r="C5" s="442" t="s">
        <v>196</v>
      </c>
      <c r="D5" s="442" t="s">
        <v>198</v>
      </c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</row>
    <row r="6" spans="1:15" s="48" customFormat="1" ht="99">
      <c r="A6" s="442"/>
      <c r="B6" s="442"/>
      <c r="C6" s="442"/>
      <c r="D6" s="44" t="s">
        <v>239</v>
      </c>
      <c r="E6" s="44" t="s">
        <v>240</v>
      </c>
      <c r="F6" s="45" t="s">
        <v>241</v>
      </c>
      <c r="G6" s="44" t="s">
        <v>249</v>
      </c>
      <c r="H6" s="44" t="s">
        <v>242</v>
      </c>
      <c r="I6" s="44" t="s">
        <v>243</v>
      </c>
      <c r="J6" s="44" t="s">
        <v>244</v>
      </c>
      <c r="K6" s="44" t="s">
        <v>245</v>
      </c>
      <c r="L6" s="44" t="s">
        <v>246</v>
      </c>
      <c r="M6" s="44" t="s">
        <v>247</v>
      </c>
      <c r="N6" s="44" t="s">
        <v>248</v>
      </c>
      <c r="O6" s="46" t="s">
        <v>154</v>
      </c>
    </row>
    <row r="7" spans="1:15" s="48" customFormat="1" ht="19.5">
      <c r="A7" s="59" t="s">
        <v>64</v>
      </c>
      <c r="B7" s="62"/>
      <c r="C7" s="65"/>
      <c r="D7" s="64"/>
      <c r="E7" s="64"/>
      <c r="F7" s="63"/>
      <c r="G7" s="64"/>
      <c r="H7" s="64"/>
      <c r="I7" s="64"/>
      <c r="J7" s="64"/>
      <c r="K7" s="64"/>
      <c r="L7" s="64"/>
      <c r="M7" s="64"/>
      <c r="N7" s="64"/>
      <c r="O7" s="64"/>
    </row>
    <row r="8" spans="1:15" s="48" customFormat="1" ht="19.5">
      <c r="A8" s="58" t="s">
        <v>154</v>
      </c>
      <c r="B8" s="66"/>
      <c r="C8" s="53">
        <f aca="true" t="shared" si="0" ref="C8:C18">SUM(D8:O8)</f>
        <v>0</v>
      </c>
      <c r="D8" s="68"/>
      <c r="E8" s="68"/>
      <c r="F8" s="67"/>
      <c r="G8" s="68"/>
      <c r="H8" s="68"/>
      <c r="I8" s="68"/>
      <c r="J8" s="68"/>
      <c r="K8" s="68"/>
      <c r="L8" s="68"/>
      <c r="M8" s="68"/>
      <c r="N8" s="68"/>
      <c r="O8" s="68"/>
    </row>
    <row r="9" spans="1:15" s="48" customFormat="1" ht="19.5">
      <c r="A9" s="49" t="s">
        <v>217</v>
      </c>
      <c r="B9" s="70"/>
      <c r="C9" s="53">
        <f t="shared" si="0"/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s="48" customFormat="1" ht="19.5">
      <c r="A10" s="49" t="s">
        <v>218</v>
      </c>
      <c r="B10" s="70"/>
      <c r="C10" s="53">
        <f t="shared" si="0"/>
        <v>0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s="48" customFormat="1" ht="19.5">
      <c r="A11" s="50" t="s">
        <v>149</v>
      </c>
      <c r="B11" s="54"/>
      <c r="C11" s="53">
        <f t="shared" si="0"/>
        <v>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s="48" customFormat="1" ht="19.5">
      <c r="A12" s="50" t="s">
        <v>150</v>
      </c>
      <c r="B12" s="54"/>
      <c r="C12" s="53">
        <f t="shared" si="0"/>
        <v>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5" s="48" customFormat="1" ht="19.5">
      <c r="A13" s="50" t="s">
        <v>151</v>
      </c>
      <c r="B13" s="54"/>
      <c r="C13" s="53">
        <f t="shared" si="0"/>
        <v>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s="48" customFormat="1" ht="19.5">
      <c r="A14" s="50" t="s">
        <v>220</v>
      </c>
      <c r="B14" s="54"/>
      <c r="C14" s="53">
        <f t="shared" si="0"/>
        <v>0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s="48" customFormat="1" ht="19.5">
      <c r="A15" s="50" t="s">
        <v>250</v>
      </c>
      <c r="B15" s="54"/>
      <c r="C15" s="53">
        <f t="shared" si="0"/>
        <v>0</v>
      </c>
      <c r="D15" s="54"/>
      <c r="E15" s="54"/>
      <c r="F15" s="54"/>
      <c r="G15" s="54"/>
      <c r="H15" s="54"/>
      <c r="I15" s="54"/>
      <c r="J15" s="54"/>
      <c r="K15" s="54"/>
      <c r="L15" s="54"/>
      <c r="M15" s="53"/>
      <c r="N15" s="53"/>
      <c r="O15" s="53"/>
    </row>
    <row r="16" spans="1:15" s="48" customFormat="1" ht="19.5">
      <c r="A16" s="50" t="s">
        <v>251</v>
      </c>
      <c r="B16" s="54"/>
      <c r="C16" s="53">
        <f t="shared" si="0"/>
        <v>0</v>
      </c>
      <c r="D16" s="54"/>
      <c r="E16" s="54"/>
      <c r="F16" s="54"/>
      <c r="G16" s="54"/>
      <c r="H16" s="54"/>
      <c r="I16" s="54"/>
      <c r="J16" s="54"/>
      <c r="K16" s="54"/>
      <c r="L16" s="54"/>
      <c r="M16" s="53"/>
      <c r="N16" s="53"/>
      <c r="O16" s="53"/>
    </row>
    <row r="17" spans="1:15" s="48" customFormat="1" ht="19.5">
      <c r="A17" s="50" t="s">
        <v>153</v>
      </c>
      <c r="B17" s="54"/>
      <c r="C17" s="53">
        <f t="shared" si="0"/>
        <v>0</v>
      </c>
      <c r="D17" s="54"/>
      <c r="E17" s="54"/>
      <c r="F17" s="54"/>
      <c r="G17" s="54"/>
      <c r="H17" s="54"/>
      <c r="I17" s="54"/>
      <c r="J17" s="54"/>
      <c r="K17" s="54"/>
      <c r="L17" s="54"/>
      <c r="M17" s="53"/>
      <c r="N17" s="53"/>
      <c r="O17" s="53"/>
    </row>
    <row r="18" spans="1:15" s="48" customFormat="1" ht="19.5">
      <c r="A18" s="56" t="s">
        <v>56</v>
      </c>
      <c r="B18" s="57"/>
      <c r="C18" s="55">
        <f t="shared" si="0"/>
        <v>0</v>
      </c>
      <c r="D18" s="57"/>
      <c r="E18" s="57"/>
      <c r="F18" s="57"/>
      <c r="G18" s="57"/>
      <c r="H18" s="57"/>
      <c r="I18" s="57"/>
      <c r="J18" s="57"/>
      <c r="K18" s="57"/>
      <c r="L18" s="57"/>
      <c r="M18" s="55"/>
      <c r="N18" s="55"/>
      <c r="O18" s="55"/>
    </row>
    <row r="19" spans="1:15" s="48" customFormat="1" ht="20.25" thickBot="1">
      <c r="A19" s="47" t="s">
        <v>252</v>
      </c>
      <c r="B19" s="73">
        <f>SUM(B8:B18)</f>
        <v>0</v>
      </c>
      <c r="C19" s="74">
        <f>SUM(C8:C18)</f>
        <v>0</v>
      </c>
      <c r="D19" s="75"/>
      <c r="E19" s="75"/>
      <c r="F19" s="76"/>
      <c r="G19" s="75"/>
      <c r="H19" s="75"/>
      <c r="I19" s="75"/>
      <c r="J19" s="75"/>
      <c r="K19" s="75"/>
      <c r="L19" s="75"/>
      <c r="M19" s="75"/>
      <c r="N19" s="75"/>
      <c r="O19" s="75"/>
    </row>
    <row r="20" spans="1:15" s="48" customFormat="1" ht="20.25" thickTop="1">
      <c r="A20" s="60" t="s">
        <v>63</v>
      </c>
      <c r="B20" s="71"/>
      <c r="C20" s="69"/>
      <c r="D20" s="72"/>
      <c r="E20" s="72"/>
      <c r="F20" s="69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19.5">
      <c r="A21" s="49" t="s">
        <v>253</v>
      </c>
      <c r="B21" s="70"/>
      <c r="C21" s="53">
        <f>SUM(D21:O21)</f>
        <v>0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1:15" ht="19.5">
      <c r="A22" s="49" t="s">
        <v>254</v>
      </c>
      <c r="B22" s="70"/>
      <c r="C22" s="53">
        <f>SUM(D22:O22)</f>
        <v>0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19.5">
      <c r="A23" s="50" t="s">
        <v>255</v>
      </c>
      <c r="B23" s="54"/>
      <c r="C23" s="53">
        <f>SUM(D23:O23)</f>
        <v>0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9.5">
      <c r="A24" s="50" t="s">
        <v>258</v>
      </c>
      <c r="B24" s="54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9.5">
      <c r="A25" s="50" t="s">
        <v>256</v>
      </c>
      <c r="B25" s="54"/>
      <c r="C25" s="53">
        <f>SUM(D25:O25)</f>
        <v>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5" ht="19.5">
      <c r="A26" s="50" t="s">
        <v>257</v>
      </c>
      <c r="B26" s="54"/>
      <c r="C26" s="53">
        <f>SUM(D26:O26)</f>
        <v>0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19.5">
      <c r="A27" s="50" t="s">
        <v>168</v>
      </c>
      <c r="B27" s="54"/>
      <c r="C27" s="53">
        <f>SUM(D27:O27)</f>
        <v>0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19.5">
      <c r="A28" s="50" t="s">
        <v>169</v>
      </c>
      <c r="B28" s="54"/>
      <c r="C28" s="53">
        <f>SUM(D28:O28)</f>
        <v>0</v>
      </c>
      <c r="D28" s="54"/>
      <c r="E28" s="54"/>
      <c r="F28" s="54"/>
      <c r="G28" s="54"/>
      <c r="H28" s="54"/>
      <c r="I28" s="54"/>
      <c r="J28" s="54"/>
      <c r="K28" s="54"/>
      <c r="L28" s="54"/>
      <c r="M28" s="53"/>
      <c r="N28" s="53"/>
      <c r="O28" s="53"/>
    </row>
    <row r="29" spans="1:15" ht="19.5">
      <c r="A29" s="50" t="s">
        <v>259</v>
      </c>
      <c r="B29" s="54"/>
      <c r="C29" s="53">
        <f>SUM(D29:O29)</f>
        <v>0</v>
      </c>
      <c r="D29" s="54"/>
      <c r="E29" s="54"/>
      <c r="F29" s="54"/>
      <c r="G29" s="54"/>
      <c r="H29" s="54"/>
      <c r="I29" s="54"/>
      <c r="J29" s="54"/>
      <c r="K29" s="54"/>
      <c r="L29" s="54"/>
      <c r="M29" s="53"/>
      <c r="N29" s="53"/>
      <c r="O29" s="53"/>
    </row>
    <row r="30" spans="1:15" ht="21" thickBot="1">
      <c r="A30" s="51" t="s">
        <v>69</v>
      </c>
      <c r="B30" s="78">
        <f aca="true" t="shared" si="1" ref="B30:O30">SUM(B21:B29)</f>
        <v>0</v>
      </c>
      <c r="C30" s="77">
        <f t="shared" si="1"/>
        <v>0</v>
      </c>
      <c r="D30" s="77">
        <f t="shared" si="1"/>
        <v>0</v>
      </c>
      <c r="E30" s="77">
        <f t="shared" si="1"/>
        <v>0</v>
      </c>
      <c r="F30" s="77">
        <f t="shared" si="1"/>
        <v>0</v>
      </c>
      <c r="G30" s="77">
        <f t="shared" si="1"/>
        <v>0</v>
      </c>
      <c r="H30" s="77">
        <f t="shared" si="1"/>
        <v>0</v>
      </c>
      <c r="I30" s="77">
        <f t="shared" si="1"/>
        <v>0</v>
      </c>
      <c r="J30" s="77">
        <f t="shared" si="1"/>
        <v>0</v>
      </c>
      <c r="K30" s="77">
        <f t="shared" si="1"/>
        <v>0</v>
      </c>
      <c r="L30" s="77">
        <f t="shared" si="1"/>
        <v>0</v>
      </c>
      <c r="M30" s="77">
        <f t="shared" si="1"/>
        <v>0</v>
      </c>
      <c r="N30" s="77">
        <f t="shared" si="1"/>
        <v>0</v>
      </c>
      <c r="O30" s="77">
        <f t="shared" si="1"/>
        <v>0</v>
      </c>
    </row>
    <row r="31" spans="1:3" ht="21" thickBot="1" thickTop="1">
      <c r="A31" s="61" t="s">
        <v>260</v>
      </c>
      <c r="C31" s="79">
        <f>+C30-C19</f>
        <v>0</v>
      </c>
    </row>
    <row r="32" ht="20.25" thickTop="1"/>
    <row r="35" ht="19.5">
      <c r="A35" s="52" t="s">
        <v>374</v>
      </c>
    </row>
    <row r="37" spans="1:13" ht="20.25" thickBot="1">
      <c r="A37" s="1" t="s">
        <v>365</v>
      </c>
      <c r="B37" s="1" t="s">
        <v>61</v>
      </c>
      <c r="C37" s="109"/>
      <c r="D37" s="1" t="s">
        <v>366</v>
      </c>
      <c r="E37" s="1" t="s">
        <v>367</v>
      </c>
      <c r="H37" s="1" t="s">
        <v>370</v>
      </c>
      <c r="K37" s="109"/>
      <c r="L37" s="1" t="s">
        <v>366</v>
      </c>
      <c r="M37" s="1" t="s">
        <v>367</v>
      </c>
    </row>
    <row r="38" ht="20.25" thickTop="1"/>
    <row r="39" spans="2:14" ht="20.25" thickBot="1">
      <c r="B39" s="110" t="s">
        <v>368</v>
      </c>
      <c r="E39" s="109"/>
      <c r="F39" s="1" t="s">
        <v>366</v>
      </c>
      <c r="J39" s="110" t="s">
        <v>368</v>
      </c>
      <c r="M39" s="109"/>
      <c r="N39" s="1" t="s">
        <v>366</v>
      </c>
    </row>
    <row r="40" spans="2:14" ht="21" thickBot="1" thickTop="1">
      <c r="B40" s="1" t="s">
        <v>373</v>
      </c>
      <c r="E40" s="111"/>
      <c r="F40" s="1" t="s">
        <v>366</v>
      </c>
      <c r="J40" s="1" t="s">
        <v>373</v>
      </c>
      <c r="M40" s="111"/>
      <c r="N40" s="1" t="s">
        <v>366</v>
      </c>
    </row>
    <row r="41" spans="2:14" ht="21" thickBot="1" thickTop="1">
      <c r="B41" s="1" t="s">
        <v>375</v>
      </c>
      <c r="E41" s="111"/>
      <c r="F41" s="1" t="s">
        <v>366</v>
      </c>
      <c r="J41" s="1" t="s">
        <v>375</v>
      </c>
      <c r="M41" s="111"/>
      <c r="N41" s="1" t="s">
        <v>366</v>
      </c>
    </row>
    <row r="42" ht="20.25" thickTop="1"/>
  </sheetData>
  <sheetProtection/>
  <mergeCells count="7">
    <mergeCell ref="A1:O1"/>
    <mergeCell ref="A2:O2"/>
    <mergeCell ref="A5:A6"/>
    <mergeCell ref="B5:B6"/>
    <mergeCell ref="C5:C6"/>
    <mergeCell ref="D5:O5"/>
    <mergeCell ref="A3:P3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Q44"/>
  <sheetViews>
    <sheetView zoomScale="70" zoomScaleNormal="70" zoomScalePageLayoutView="0" workbookViewId="0" topLeftCell="A1">
      <selection activeCell="B34" sqref="B34:P34"/>
    </sheetView>
  </sheetViews>
  <sheetFormatPr defaultColWidth="9.00390625" defaultRowHeight="15"/>
  <cols>
    <col min="1" max="1" width="11.7109375" style="1" customWidth="1"/>
    <col min="2" max="2" width="13.00390625" style="1" customWidth="1"/>
    <col min="3" max="3" width="26.140625" style="1" customWidth="1"/>
    <col min="4" max="11" width="12.57421875" style="1" customWidth="1"/>
    <col min="12" max="12" width="13.57421875" style="1" customWidth="1"/>
    <col min="13" max="13" width="12.57421875" style="1" customWidth="1"/>
    <col min="14" max="14" width="9.57421875" style="1" customWidth="1"/>
    <col min="15" max="15" width="14.57421875" style="1" customWidth="1"/>
    <col min="16" max="16" width="17.8515625" style="1" customWidth="1"/>
    <col min="17" max="16384" width="9.00390625" style="1" customWidth="1"/>
  </cols>
  <sheetData>
    <row r="1" spans="2:16" ht="19.5">
      <c r="B1" s="441" t="str">
        <f>+งบแสดงฐานะการเงิน!A1</f>
        <v>องค์การบริหารส่วนตำบลคอกควาย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</row>
    <row r="2" spans="2:16" ht="19.5">
      <c r="B2" s="441" t="s">
        <v>680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</row>
    <row r="3" spans="2:17" ht="19.5">
      <c r="B3" s="441" t="s">
        <v>676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373"/>
    </row>
    <row r="5" spans="2:16" ht="19.5">
      <c r="B5" s="442" t="s">
        <v>214</v>
      </c>
      <c r="C5" s="442" t="s">
        <v>200</v>
      </c>
      <c r="D5" s="442" t="s">
        <v>198</v>
      </c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36" t="s">
        <v>196</v>
      </c>
    </row>
    <row r="6" spans="1:16" s="48" customFormat="1" ht="99">
      <c r="A6" s="369"/>
      <c r="B6" s="442"/>
      <c r="C6" s="442"/>
      <c r="D6" s="44" t="s">
        <v>239</v>
      </c>
      <c r="E6" s="44" t="s">
        <v>240</v>
      </c>
      <c r="F6" s="45" t="s">
        <v>241</v>
      </c>
      <c r="G6" s="44" t="s">
        <v>249</v>
      </c>
      <c r="H6" s="44" t="s">
        <v>242</v>
      </c>
      <c r="I6" s="44" t="s">
        <v>243</v>
      </c>
      <c r="J6" s="44" t="s">
        <v>244</v>
      </c>
      <c r="K6" s="44" t="s">
        <v>245</v>
      </c>
      <c r="L6" s="44" t="s">
        <v>246</v>
      </c>
      <c r="M6" s="44" t="s">
        <v>247</v>
      </c>
      <c r="N6" s="44" t="s">
        <v>248</v>
      </c>
      <c r="O6" s="372" t="s">
        <v>154</v>
      </c>
      <c r="P6" s="437"/>
    </row>
    <row r="7" spans="2:16" s="377" customFormat="1" ht="19.5">
      <c r="B7" s="383" t="s">
        <v>64</v>
      </c>
      <c r="C7" s="379"/>
      <c r="D7" s="380"/>
      <c r="E7" s="380"/>
      <c r="F7" s="381"/>
      <c r="G7" s="380"/>
      <c r="H7" s="380"/>
      <c r="I7" s="380"/>
      <c r="J7" s="380"/>
      <c r="K7" s="380"/>
      <c r="L7" s="380"/>
      <c r="M7" s="380"/>
      <c r="N7" s="380"/>
      <c r="O7" s="382"/>
      <c r="P7" s="379"/>
    </row>
    <row r="8" spans="1:16" s="48" customFormat="1" ht="19.5">
      <c r="A8" s="369"/>
      <c r="B8" s="49" t="s">
        <v>216</v>
      </c>
      <c r="C8" s="49" t="s">
        <v>217</v>
      </c>
      <c r="D8" s="53">
        <v>3607920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>
        <f>SUM(D8:O8)</f>
        <v>3607920</v>
      </c>
    </row>
    <row r="9" spans="1:16" s="48" customFormat="1" ht="19.5">
      <c r="A9" s="369"/>
      <c r="B9" s="49"/>
      <c r="C9" s="49" t="s">
        <v>218</v>
      </c>
      <c r="D9" s="53">
        <v>2808853</v>
      </c>
      <c r="E9" s="53">
        <v>296520</v>
      </c>
      <c r="F9" s="53">
        <v>1875812.5</v>
      </c>
      <c r="G9" s="53">
        <v>0</v>
      </c>
      <c r="H9" s="53">
        <v>0</v>
      </c>
      <c r="I9" s="53">
        <v>256860</v>
      </c>
      <c r="J9" s="53"/>
      <c r="K9" s="53"/>
      <c r="L9" s="53"/>
      <c r="M9" s="53"/>
      <c r="N9" s="53"/>
      <c r="O9" s="53"/>
      <c r="P9" s="53">
        <f aca="true" t="shared" si="0" ref="P9:P17">SUM(D9:O9)</f>
        <v>5238045.5</v>
      </c>
    </row>
    <row r="10" spans="1:16" s="48" customFormat="1" ht="21">
      <c r="A10" s="369"/>
      <c r="B10" s="50" t="s">
        <v>219</v>
      </c>
      <c r="C10" s="50" t="s">
        <v>149</v>
      </c>
      <c r="D10" s="31">
        <v>254750</v>
      </c>
      <c r="E10" s="31">
        <v>0</v>
      </c>
      <c r="F10" s="31">
        <v>44400</v>
      </c>
      <c r="G10" s="31">
        <v>0</v>
      </c>
      <c r="H10" s="31">
        <v>0</v>
      </c>
      <c r="I10" s="31">
        <v>45050</v>
      </c>
      <c r="J10" s="31"/>
      <c r="K10" s="31"/>
      <c r="L10" s="31"/>
      <c r="M10" s="31"/>
      <c r="N10" s="31"/>
      <c r="O10" s="31"/>
      <c r="P10" s="53">
        <f t="shared" si="0"/>
        <v>344200</v>
      </c>
    </row>
    <row r="11" spans="1:16" s="48" customFormat="1" ht="21">
      <c r="A11" s="369"/>
      <c r="B11" s="50"/>
      <c r="C11" s="50" t="s">
        <v>150</v>
      </c>
      <c r="D11" s="31">
        <v>1046239.77</v>
      </c>
      <c r="E11" s="31">
        <v>109525</v>
      </c>
      <c r="F11" s="31">
        <v>1115522</v>
      </c>
      <c r="G11" s="31">
        <v>0</v>
      </c>
      <c r="H11" s="31">
        <v>0</v>
      </c>
      <c r="I11" s="31">
        <v>476333</v>
      </c>
      <c r="J11" s="31">
        <v>27600</v>
      </c>
      <c r="K11" s="31">
        <v>48740</v>
      </c>
      <c r="L11" s="31">
        <v>0</v>
      </c>
      <c r="M11" s="31">
        <v>39500</v>
      </c>
      <c r="N11" s="31"/>
      <c r="O11" s="31"/>
      <c r="P11" s="53">
        <f t="shared" si="0"/>
        <v>2863459.77</v>
      </c>
    </row>
    <row r="12" spans="1:16" s="48" customFormat="1" ht="21">
      <c r="A12" s="369"/>
      <c r="B12" s="50"/>
      <c r="C12" s="50" t="s">
        <v>151</v>
      </c>
      <c r="D12" s="31">
        <v>452037.6</v>
      </c>
      <c r="E12" s="31">
        <v>20555.5</v>
      </c>
      <c r="F12" s="31">
        <v>1660392.08</v>
      </c>
      <c r="G12" s="31">
        <v>99600</v>
      </c>
      <c r="H12" s="31">
        <v>48631</v>
      </c>
      <c r="I12" s="31">
        <v>215006</v>
      </c>
      <c r="J12" s="31">
        <v>0</v>
      </c>
      <c r="K12" s="31">
        <v>32000</v>
      </c>
      <c r="L12" s="31"/>
      <c r="M12" s="31"/>
      <c r="N12" s="31"/>
      <c r="O12" s="31"/>
      <c r="P12" s="53">
        <f t="shared" si="0"/>
        <v>2528222.18</v>
      </c>
    </row>
    <row r="13" spans="1:16" s="48" customFormat="1" ht="21">
      <c r="A13" s="369"/>
      <c r="B13" s="50"/>
      <c r="C13" s="50" t="s">
        <v>220</v>
      </c>
      <c r="D13" s="31">
        <v>337316.66</v>
      </c>
      <c r="E13" s="31">
        <v>0</v>
      </c>
      <c r="F13" s="31">
        <v>91314.03</v>
      </c>
      <c r="G13" s="31"/>
      <c r="H13" s="31"/>
      <c r="I13" s="31"/>
      <c r="J13" s="31"/>
      <c r="K13" s="31"/>
      <c r="L13" s="31"/>
      <c r="M13" s="31"/>
      <c r="N13" s="31"/>
      <c r="O13" s="31"/>
      <c r="P13" s="53">
        <f t="shared" si="0"/>
        <v>428630.68999999994</v>
      </c>
    </row>
    <row r="14" spans="1:16" s="48" customFormat="1" ht="21">
      <c r="A14" s="369"/>
      <c r="B14" s="50" t="s">
        <v>222</v>
      </c>
      <c r="C14" s="50" t="s">
        <v>447</v>
      </c>
      <c r="D14" s="388">
        <v>831960</v>
      </c>
      <c r="E14" s="388">
        <v>0</v>
      </c>
      <c r="F14" s="388">
        <v>141260</v>
      </c>
      <c r="G14" s="388">
        <v>0</v>
      </c>
      <c r="H14" s="388">
        <v>0</v>
      </c>
      <c r="I14" s="388">
        <v>18800</v>
      </c>
      <c r="J14" s="388">
        <v>0</v>
      </c>
      <c r="K14" s="388">
        <v>198000</v>
      </c>
      <c r="L14" s="388">
        <v>319288</v>
      </c>
      <c r="M14" s="31"/>
      <c r="N14" s="31"/>
      <c r="O14" s="31"/>
      <c r="P14" s="53">
        <f t="shared" si="0"/>
        <v>1509308</v>
      </c>
    </row>
    <row r="15" spans="1:16" s="48" customFormat="1" ht="21">
      <c r="A15" s="369"/>
      <c r="B15" s="50"/>
      <c r="C15" s="50" t="s">
        <v>448</v>
      </c>
      <c r="D15" s="388"/>
      <c r="E15" s="388"/>
      <c r="F15" s="388"/>
      <c r="G15" s="388"/>
      <c r="H15" s="388"/>
      <c r="I15" s="388"/>
      <c r="J15" s="388"/>
      <c r="K15" s="388"/>
      <c r="L15" s="388">
        <f>2681000</f>
        <v>2681000</v>
      </c>
      <c r="M15" s="31"/>
      <c r="N15" s="31"/>
      <c r="O15" s="31"/>
      <c r="P15" s="53">
        <f t="shared" si="0"/>
        <v>2681000</v>
      </c>
    </row>
    <row r="16" spans="2:16" s="377" customFormat="1" ht="21">
      <c r="B16" s="50" t="s">
        <v>223</v>
      </c>
      <c r="C16" s="50" t="s">
        <v>56</v>
      </c>
      <c r="D16" s="388">
        <v>1533264.41</v>
      </c>
      <c r="E16" s="388">
        <v>0</v>
      </c>
      <c r="F16" s="388">
        <v>1431000</v>
      </c>
      <c r="G16" s="388">
        <v>280000</v>
      </c>
      <c r="H16" s="388"/>
      <c r="I16" s="388"/>
      <c r="J16" s="388"/>
      <c r="K16" s="388"/>
      <c r="L16" s="388"/>
      <c r="M16" s="31"/>
      <c r="N16" s="31"/>
      <c r="O16" s="31"/>
      <c r="P16" s="53">
        <f t="shared" si="0"/>
        <v>3244264.41</v>
      </c>
    </row>
    <row r="17" spans="2:16" s="377" customFormat="1" ht="23.25" customHeight="1">
      <c r="B17" s="384" t="s">
        <v>154</v>
      </c>
      <c r="C17" s="384" t="s">
        <v>681</v>
      </c>
      <c r="D17" s="389"/>
      <c r="E17" s="389"/>
      <c r="F17" s="389"/>
      <c r="G17" s="389"/>
      <c r="H17" s="389"/>
      <c r="I17" s="389"/>
      <c r="J17" s="389"/>
      <c r="K17" s="389"/>
      <c r="L17" s="389"/>
      <c r="M17" s="374"/>
      <c r="N17" s="32"/>
      <c r="O17" s="390">
        <v>10333896</v>
      </c>
      <c r="P17" s="53">
        <f t="shared" si="0"/>
        <v>10333896</v>
      </c>
    </row>
    <row r="18" spans="1:16" s="48" customFormat="1" ht="20.25" thickBot="1">
      <c r="A18" s="369"/>
      <c r="B18" s="438" t="s">
        <v>196</v>
      </c>
      <c r="C18" s="440"/>
      <c r="D18" s="385">
        <f aca="true" t="shared" si="1" ref="D18:K18">SUM(D7:D17)</f>
        <v>10872341.44</v>
      </c>
      <c r="E18" s="75">
        <f t="shared" si="1"/>
        <v>426600.5</v>
      </c>
      <c r="F18" s="76">
        <f t="shared" si="1"/>
        <v>6359700.61</v>
      </c>
      <c r="G18" s="75">
        <f t="shared" si="1"/>
        <v>379600</v>
      </c>
      <c r="H18" s="75">
        <f t="shared" si="1"/>
        <v>48631</v>
      </c>
      <c r="I18" s="75">
        <f t="shared" si="1"/>
        <v>1012049</v>
      </c>
      <c r="J18" s="75">
        <f t="shared" si="1"/>
        <v>27600</v>
      </c>
      <c r="K18" s="75">
        <f t="shared" si="1"/>
        <v>278740</v>
      </c>
      <c r="L18" s="75">
        <f>L15+L14</f>
        <v>3000288</v>
      </c>
      <c r="M18" s="75">
        <f>SUM(M7:M17)</f>
        <v>39500</v>
      </c>
      <c r="N18" s="75"/>
      <c r="O18" s="75">
        <f>SUM(O7:O17)</f>
        <v>10333896</v>
      </c>
      <c r="P18" s="74">
        <f>SUM(P8:P17)</f>
        <v>32778946.55</v>
      </c>
    </row>
    <row r="19" ht="20.25" thickTop="1"/>
    <row r="28" ht="19.5">
      <c r="N28" s="344">
        <f>SUM(B28:M28)</f>
        <v>0</v>
      </c>
    </row>
    <row r="34" spans="2:16" ht="19.5">
      <c r="B34" s="446" t="s">
        <v>376</v>
      </c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</row>
    <row r="35" spans="2:16" ht="19.5">
      <c r="B35" s="441" t="s">
        <v>677</v>
      </c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</row>
    <row r="36" spans="2:16" ht="19.5">
      <c r="B36" s="441" t="s">
        <v>676</v>
      </c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</row>
    <row r="38" spans="2:16" ht="19.5">
      <c r="B38" s="442" t="s">
        <v>214</v>
      </c>
      <c r="C38" s="442" t="s">
        <v>200</v>
      </c>
      <c r="D38" s="442" t="s">
        <v>198</v>
      </c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36" t="s">
        <v>196</v>
      </c>
    </row>
    <row r="39" spans="2:16" ht="99">
      <c r="B39" s="442"/>
      <c r="C39" s="442"/>
      <c r="D39" s="44" t="s">
        <v>239</v>
      </c>
      <c r="E39" s="44" t="s">
        <v>240</v>
      </c>
      <c r="F39" s="375" t="s">
        <v>241</v>
      </c>
      <c r="G39" s="44" t="s">
        <v>249</v>
      </c>
      <c r="H39" s="44" t="s">
        <v>242</v>
      </c>
      <c r="I39" s="44" t="s">
        <v>243</v>
      </c>
      <c r="J39" s="44" t="s">
        <v>244</v>
      </c>
      <c r="K39" s="44" t="s">
        <v>245</v>
      </c>
      <c r="L39" s="44" t="s">
        <v>246</v>
      </c>
      <c r="M39" s="44" t="s">
        <v>247</v>
      </c>
      <c r="N39" s="44" t="s">
        <v>248</v>
      </c>
      <c r="O39" s="376" t="s">
        <v>154</v>
      </c>
      <c r="P39" s="437"/>
    </row>
    <row r="40" spans="2:16" ht="19.5">
      <c r="B40" s="50" t="s">
        <v>64</v>
      </c>
      <c r="C40" s="50"/>
      <c r="D40" s="54"/>
      <c r="E40" s="54"/>
      <c r="F40" s="54"/>
      <c r="G40" s="54"/>
      <c r="H40" s="54"/>
      <c r="I40" s="54"/>
      <c r="J40" s="54"/>
      <c r="K40" s="54"/>
      <c r="L40" s="54"/>
      <c r="M40" s="53"/>
      <c r="N40" s="53"/>
      <c r="O40" s="53"/>
      <c r="P40" s="53"/>
    </row>
    <row r="41" spans="2:16" ht="19.5">
      <c r="B41" s="50" t="s">
        <v>222</v>
      </c>
      <c r="C41" s="50" t="s">
        <v>251</v>
      </c>
      <c r="D41" s="54"/>
      <c r="E41" s="54"/>
      <c r="F41" s="54"/>
      <c r="G41" s="54"/>
      <c r="H41" s="54"/>
      <c r="I41" s="54"/>
      <c r="J41" s="54"/>
      <c r="K41" s="54"/>
      <c r="L41" s="54">
        <v>9185535</v>
      </c>
      <c r="M41" s="53"/>
      <c r="N41" s="53"/>
      <c r="O41" s="53"/>
      <c r="P41" s="53">
        <f>L41</f>
        <v>9185535</v>
      </c>
    </row>
    <row r="42" spans="2:16" ht="19.5">
      <c r="B42" s="50"/>
      <c r="C42" s="50"/>
      <c r="D42" s="54"/>
      <c r="E42" s="54"/>
      <c r="F42" s="54"/>
      <c r="G42" s="54"/>
      <c r="H42" s="54"/>
      <c r="I42" s="54"/>
      <c r="J42" s="54"/>
      <c r="K42" s="54"/>
      <c r="L42" s="54"/>
      <c r="M42" s="53"/>
      <c r="N42" s="53"/>
      <c r="O42" s="53"/>
      <c r="P42" s="53">
        <f>SUM(Q42:AB42)</f>
        <v>0</v>
      </c>
    </row>
    <row r="43" spans="2:16" ht="19.5">
      <c r="B43" s="56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5"/>
      <c r="N43" s="55"/>
      <c r="O43" s="55"/>
      <c r="P43" s="55">
        <f>SUM(Q43:AB43)</f>
        <v>0</v>
      </c>
    </row>
    <row r="44" spans="2:16" ht="20.25" thickBot="1">
      <c r="B44" s="438" t="s">
        <v>196</v>
      </c>
      <c r="C44" s="440"/>
      <c r="D44" s="75"/>
      <c r="E44" s="75"/>
      <c r="F44" s="76"/>
      <c r="G44" s="75"/>
      <c r="H44" s="75"/>
      <c r="I44" s="75"/>
      <c r="J44" s="75"/>
      <c r="K44" s="75"/>
      <c r="L44" s="75">
        <f>L41</f>
        <v>9185535</v>
      </c>
      <c r="M44" s="75"/>
      <c r="N44" s="75"/>
      <c r="O44" s="75"/>
      <c r="P44" s="74">
        <f>SUM(P40:P43)</f>
        <v>9185535</v>
      </c>
    </row>
    <row r="45" ht="20.25" thickTop="1"/>
  </sheetData>
  <sheetProtection/>
  <mergeCells count="16">
    <mergeCell ref="B44:C44"/>
    <mergeCell ref="B34:P34"/>
    <mergeCell ref="B35:P35"/>
    <mergeCell ref="B36:P36"/>
    <mergeCell ref="B38:B39"/>
    <mergeCell ref="C38:C39"/>
    <mergeCell ref="D38:O38"/>
    <mergeCell ref="P38:P39"/>
    <mergeCell ref="B18:C18"/>
    <mergeCell ref="B1:P1"/>
    <mergeCell ref="B2:P2"/>
    <mergeCell ref="B3:P3"/>
    <mergeCell ref="B5:B6"/>
    <mergeCell ref="D5:O5"/>
    <mergeCell ref="C5:C6"/>
    <mergeCell ref="P5:P6"/>
  </mergeCells>
  <printOptions/>
  <pageMargins left="0.31496062992125984" right="0.31496062992125984" top="0.7480314960629921" bottom="0.35433070866141736" header="0.31496062992125984" footer="0.3149606299212598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43"/>
  <sheetViews>
    <sheetView view="pageBreakPreview" zoomScale="110" zoomScaleSheetLayoutView="110" zoomScalePageLayoutView="0" workbookViewId="0" topLeftCell="A43">
      <selection activeCell="A47" sqref="A47"/>
    </sheetView>
  </sheetViews>
  <sheetFormatPr defaultColWidth="9.00390625" defaultRowHeight="15"/>
  <cols>
    <col min="1" max="1" width="27.140625" style="10" customWidth="1"/>
    <col min="2" max="2" width="12.7109375" style="10" customWidth="1"/>
    <col min="3" max="3" width="12.140625" style="10" customWidth="1"/>
    <col min="4" max="4" width="6.8515625" style="10" customWidth="1"/>
    <col min="5" max="5" width="12.7109375" style="10" customWidth="1"/>
    <col min="6" max="6" width="12.57421875" style="10" customWidth="1"/>
    <col min="7" max="16384" width="9.00390625" style="10" customWidth="1"/>
  </cols>
  <sheetData>
    <row r="1" spans="1:6" ht="16.5" customHeight="1">
      <c r="A1" s="404" t="str">
        <f>งบแสดงฐานะการเงิน!A1</f>
        <v>องค์การบริหารส่วนตำบลคอกควาย</v>
      </c>
      <c r="B1" s="404"/>
      <c r="C1" s="404"/>
      <c r="D1" s="404"/>
      <c r="E1" s="404"/>
      <c r="F1" s="404"/>
    </row>
    <row r="2" spans="1:6" ht="16.5" customHeight="1">
      <c r="A2" s="404" t="s">
        <v>194</v>
      </c>
      <c r="B2" s="404"/>
      <c r="C2" s="404"/>
      <c r="D2" s="404"/>
      <c r="E2" s="404"/>
      <c r="F2" s="404"/>
    </row>
    <row r="3" spans="1:6" ht="16.5" customHeight="1">
      <c r="A3" s="404" t="s">
        <v>642</v>
      </c>
      <c r="B3" s="404"/>
      <c r="C3" s="404"/>
      <c r="D3" s="404"/>
      <c r="E3" s="404"/>
      <c r="F3" s="404"/>
    </row>
    <row r="4" spans="1:5" ht="16.5" customHeight="1">
      <c r="A4" s="108" t="s">
        <v>372</v>
      </c>
      <c r="C4" s="108"/>
      <c r="E4" s="219"/>
    </row>
    <row r="5" spans="1:6" ht="16.5" customHeight="1">
      <c r="A5" s="405" t="s">
        <v>66</v>
      </c>
      <c r="B5" s="406" t="s">
        <v>68</v>
      </c>
      <c r="C5" s="407"/>
      <c r="D5" s="405" t="s">
        <v>70</v>
      </c>
      <c r="E5" s="405"/>
      <c r="F5" s="405"/>
    </row>
    <row r="6" spans="1:6" ht="16.5" customHeight="1">
      <c r="A6" s="405"/>
      <c r="B6" s="408"/>
      <c r="C6" s="409"/>
      <c r="D6" s="11" t="s">
        <v>193</v>
      </c>
      <c r="E6" s="410" t="s">
        <v>61</v>
      </c>
      <c r="F6" s="411"/>
    </row>
    <row r="7" spans="1:6" ht="16.5" customHeight="1">
      <c r="A7" s="210"/>
      <c r="B7" s="269">
        <v>2561</v>
      </c>
      <c r="C7" s="283">
        <v>2560</v>
      </c>
      <c r="D7" s="295"/>
      <c r="E7" s="283">
        <v>2561</v>
      </c>
      <c r="F7" s="261">
        <v>2560</v>
      </c>
    </row>
    <row r="8" spans="1:6" ht="16.5" customHeight="1">
      <c r="A8" s="296" t="s">
        <v>65</v>
      </c>
      <c r="B8" s="296"/>
      <c r="C8" s="296"/>
      <c r="D8" s="297"/>
      <c r="E8" s="298"/>
      <c r="F8" s="296"/>
    </row>
    <row r="9" spans="1:6" ht="16.5" customHeight="1">
      <c r="A9" s="211" t="s">
        <v>506</v>
      </c>
      <c r="B9" s="299">
        <v>16961468.12</v>
      </c>
      <c r="C9" s="300">
        <v>16460948.12</v>
      </c>
      <c r="D9" s="301" t="s">
        <v>52</v>
      </c>
      <c r="E9" s="312">
        <v>43000292.12</v>
      </c>
      <c r="F9" s="313">
        <v>38056784.12</v>
      </c>
    </row>
    <row r="10" spans="1:6" ht="16.5" customHeight="1">
      <c r="A10" s="211" t="s">
        <v>507</v>
      </c>
      <c r="B10" s="299">
        <v>830000</v>
      </c>
      <c r="C10" s="300">
        <v>830000</v>
      </c>
      <c r="D10" s="301" t="s">
        <v>54</v>
      </c>
      <c r="E10" s="313">
        <v>109350</v>
      </c>
      <c r="F10" s="313">
        <v>109350</v>
      </c>
    </row>
    <row r="11" spans="1:6" ht="16.5" customHeight="1">
      <c r="A11" s="211" t="s">
        <v>508</v>
      </c>
      <c r="B11" s="299">
        <v>3306300</v>
      </c>
      <c r="C11" s="300">
        <v>2026300</v>
      </c>
      <c r="D11" s="301" t="s">
        <v>55</v>
      </c>
      <c r="E11" s="313">
        <v>298700</v>
      </c>
      <c r="F11" s="313">
        <v>298700</v>
      </c>
    </row>
    <row r="12" spans="1:9" ht="16.5" customHeight="1">
      <c r="A12" s="211" t="s">
        <v>509</v>
      </c>
      <c r="B12" s="299">
        <v>60659</v>
      </c>
      <c r="C12" s="300">
        <v>60659</v>
      </c>
      <c r="D12" s="301"/>
      <c r="E12" s="302"/>
      <c r="F12" s="302"/>
      <c r="I12" s="107"/>
    </row>
    <row r="13" spans="1:6" ht="16.5" customHeight="1">
      <c r="A13" s="211" t="s">
        <v>510</v>
      </c>
      <c r="B13" s="299">
        <v>676620</v>
      </c>
      <c r="C13" s="300">
        <v>330320</v>
      </c>
      <c r="D13" s="301"/>
      <c r="E13" s="302"/>
      <c r="F13" s="302"/>
    </row>
    <row r="14" spans="1:6" ht="16.5" customHeight="1">
      <c r="A14" s="211" t="s">
        <v>511</v>
      </c>
      <c r="B14" s="299">
        <v>1830700</v>
      </c>
      <c r="C14" s="300">
        <v>1043700</v>
      </c>
      <c r="D14" s="303"/>
      <c r="E14" s="302"/>
      <c r="F14" s="304"/>
    </row>
    <row r="15" spans="1:6" ht="16.5" customHeight="1">
      <c r="A15" s="314" t="s">
        <v>512</v>
      </c>
      <c r="B15" s="299">
        <v>5996000</v>
      </c>
      <c r="C15" s="300">
        <v>5996000</v>
      </c>
      <c r="D15" s="303"/>
      <c r="E15" s="299"/>
      <c r="F15" s="304"/>
    </row>
    <row r="16" spans="1:6" ht="16.5" customHeight="1">
      <c r="A16" s="211" t="s">
        <v>513</v>
      </c>
      <c r="B16" s="299"/>
      <c r="C16" s="300"/>
      <c r="D16" s="303"/>
      <c r="E16" s="299"/>
      <c r="F16" s="304"/>
    </row>
    <row r="17" spans="1:6" ht="16.5" customHeight="1">
      <c r="A17" s="314" t="s">
        <v>514</v>
      </c>
      <c r="B17" s="299">
        <v>229000</v>
      </c>
      <c r="C17" s="300">
        <v>229000</v>
      </c>
      <c r="D17" s="303"/>
      <c r="E17" s="299"/>
      <c r="F17" s="304"/>
    </row>
    <row r="18" spans="1:6" ht="16.5" customHeight="1">
      <c r="A18" s="211" t="s">
        <v>515</v>
      </c>
      <c r="B18" s="299">
        <v>514000</v>
      </c>
      <c r="C18" s="300">
        <v>475000</v>
      </c>
      <c r="D18" s="303"/>
      <c r="E18" s="299"/>
      <c r="F18" s="304"/>
    </row>
    <row r="19" spans="1:6" ht="16.5" customHeight="1">
      <c r="A19" s="211" t="s">
        <v>516</v>
      </c>
      <c r="B19" s="299">
        <v>455000</v>
      </c>
      <c r="C19" s="300">
        <v>334000</v>
      </c>
      <c r="D19" s="303"/>
      <c r="E19" s="299"/>
      <c r="F19" s="304"/>
    </row>
    <row r="20" spans="1:6" ht="16.5" customHeight="1">
      <c r="A20" s="297" t="s">
        <v>67</v>
      </c>
      <c r="B20" s="297"/>
      <c r="C20" s="305"/>
      <c r="D20" s="297"/>
      <c r="E20" s="299"/>
      <c r="F20" s="305"/>
    </row>
    <row r="21" spans="1:6" ht="16.5" customHeight="1">
      <c r="A21" s="211" t="s">
        <v>517</v>
      </c>
      <c r="B21" s="299">
        <v>2910972</v>
      </c>
      <c r="C21" s="300">
        <v>2621452</v>
      </c>
      <c r="D21" s="297"/>
      <c r="E21" s="299"/>
      <c r="F21" s="305"/>
    </row>
    <row r="22" spans="1:6" ht="16.5" customHeight="1">
      <c r="A22" s="211" t="s">
        <v>518</v>
      </c>
      <c r="B22" s="299">
        <v>1119568</v>
      </c>
      <c r="C22" s="300">
        <v>1097568</v>
      </c>
      <c r="D22" s="297"/>
      <c r="E22" s="299"/>
      <c r="F22" s="305"/>
    </row>
    <row r="23" spans="1:6" ht="16.5" customHeight="1">
      <c r="A23" s="211" t="s">
        <v>519</v>
      </c>
      <c r="B23" s="299">
        <v>409125</v>
      </c>
      <c r="C23" s="300">
        <v>405725</v>
      </c>
      <c r="D23" s="297"/>
      <c r="E23" s="299"/>
      <c r="F23" s="305"/>
    </row>
    <row r="24" spans="1:6" ht="16.5" customHeight="1">
      <c r="A24" s="211" t="s">
        <v>520</v>
      </c>
      <c r="B24" s="299">
        <v>4157288</v>
      </c>
      <c r="C24" s="300">
        <v>3051000</v>
      </c>
      <c r="D24" s="297"/>
      <c r="E24" s="299"/>
      <c r="F24" s="305"/>
    </row>
    <row r="25" spans="1:6" ht="16.5" customHeight="1">
      <c r="A25" s="211" t="s">
        <v>521</v>
      </c>
      <c r="B25" s="299">
        <v>695842</v>
      </c>
      <c r="C25" s="300">
        <v>686842</v>
      </c>
      <c r="D25" s="297"/>
      <c r="E25" s="299"/>
      <c r="F25" s="305"/>
    </row>
    <row r="26" spans="1:6" ht="16.5" customHeight="1">
      <c r="A26" s="211" t="s">
        <v>522</v>
      </c>
      <c r="B26" s="299">
        <v>159300</v>
      </c>
      <c r="C26" s="300">
        <v>161800</v>
      </c>
      <c r="D26" s="297"/>
      <c r="E26" s="299"/>
      <c r="F26" s="305"/>
    </row>
    <row r="27" spans="1:6" ht="16.5" customHeight="1">
      <c r="A27" s="211" t="s">
        <v>523</v>
      </c>
      <c r="B27" s="299">
        <v>161300</v>
      </c>
      <c r="C27" s="300">
        <v>161300</v>
      </c>
      <c r="D27" s="297"/>
      <c r="E27" s="305"/>
      <c r="F27" s="305"/>
    </row>
    <row r="28" spans="1:6" ht="16.5" customHeight="1">
      <c r="A28" s="211" t="s">
        <v>524</v>
      </c>
      <c r="B28" s="305">
        <v>0</v>
      </c>
      <c r="C28" s="300">
        <v>6020</v>
      </c>
      <c r="D28" s="297"/>
      <c r="E28" s="305"/>
      <c r="F28" s="305"/>
    </row>
    <row r="29" spans="1:6" ht="16.5" customHeight="1">
      <c r="A29" s="211" t="s">
        <v>525</v>
      </c>
      <c r="B29" s="299">
        <v>202110</v>
      </c>
      <c r="C29" s="300">
        <v>202110</v>
      </c>
      <c r="D29" s="297"/>
      <c r="E29" s="305"/>
      <c r="F29" s="305"/>
    </row>
    <row r="30" spans="1:6" ht="16.5" customHeight="1">
      <c r="A30" s="211" t="s">
        <v>526</v>
      </c>
      <c r="B30" s="299">
        <v>81800</v>
      </c>
      <c r="C30" s="300">
        <v>81800</v>
      </c>
      <c r="D30" s="297"/>
      <c r="E30" s="305"/>
      <c r="F30" s="305"/>
    </row>
    <row r="31" spans="1:6" ht="16.5" customHeight="1">
      <c r="A31" s="211" t="s">
        <v>527</v>
      </c>
      <c r="B31" s="299">
        <v>97700</v>
      </c>
      <c r="C31" s="300">
        <v>97700</v>
      </c>
      <c r="D31" s="297"/>
      <c r="E31" s="305"/>
      <c r="F31" s="305"/>
    </row>
    <row r="32" spans="1:6" ht="16.5" customHeight="1">
      <c r="A32" s="211" t="s">
        <v>528</v>
      </c>
      <c r="B32" s="299">
        <v>1380790</v>
      </c>
      <c r="C32" s="300">
        <v>1250190</v>
      </c>
      <c r="D32" s="297"/>
      <c r="E32" s="305"/>
      <c r="F32" s="305"/>
    </row>
    <row r="33" spans="1:6" ht="16.5" customHeight="1">
      <c r="A33" s="211" t="s">
        <v>529</v>
      </c>
      <c r="B33" s="299">
        <v>24700</v>
      </c>
      <c r="C33" s="300">
        <v>20000</v>
      </c>
      <c r="D33" s="297"/>
      <c r="E33" s="305"/>
      <c r="F33" s="305"/>
    </row>
    <row r="34" spans="1:6" ht="16.5" customHeight="1">
      <c r="A34" s="211" t="s">
        <v>530</v>
      </c>
      <c r="B34" s="299">
        <v>60500</v>
      </c>
      <c r="C34" s="300">
        <v>60000</v>
      </c>
      <c r="D34" s="297"/>
      <c r="E34" s="305"/>
      <c r="F34" s="305"/>
    </row>
    <row r="35" spans="1:6" ht="16.5" customHeight="1">
      <c r="A35" s="211" t="s">
        <v>532</v>
      </c>
      <c r="B35" s="299">
        <v>1072900</v>
      </c>
      <c r="C35" s="300">
        <v>775400</v>
      </c>
      <c r="D35" s="297"/>
      <c r="E35" s="305"/>
      <c r="F35" s="305"/>
    </row>
    <row r="36" spans="1:6" ht="16.5" customHeight="1">
      <c r="A36" s="211" t="s">
        <v>531</v>
      </c>
      <c r="B36" s="299">
        <v>14700</v>
      </c>
      <c r="C36" s="300">
        <v>0</v>
      </c>
      <c r="D36" s="297"/>
      <c r="E36" s="305"/>
      <c r="F36" s="305"/>
    </row>
    <row r="37" spans="1:6" ht="16.5" customHeight="1" thickBot="1">
      <c r="A37" s="306"/>
      <c r="B37" s="307">
        <f>SUM(B9:B36)</f>
        <v>43408342.120000005</v>
      </c>
      <c r="C37" s="308">
        <f>SUM(C9:C36)</f>
        <v>38464834.12</v>
      </c>
      <c r="D37" s="309"/>
      <c r="E37" s="310">
        <f>SUM(E9:E36)</f>
        <v>43408342.12</v>
      </c>
      <c r="F37" s="311">
        <f>SUM(F9:F36)</f>
        <v>38464834.12</v>
      </c>
    </row>
    <row r="38" ht="16.5" customHeight="1" thickTop="1">
      <c r="E38" s="6"/>
    </row>
    <row r="39" ht="16.5" customHeight="1">
      <c r="A39" s="10" t="s">
        <v>504</v>
      </c>
    </row>
    <row r="40" ht="16.5" customHeight="1">
      <c r="A40" s="366" t="s">
        <v>673</v>
      </c>
    </row>
    <row r="41" ht="16.5" customHeight="1">
      <c r="A41" s="366" t="s">
        <v>672</v>
      </c>
    </row>
    <row r="42" ht="16.5" customHeight="1">
      <c r="A42" s="366" t="s">
        <v>671</v>
      </c>
    </row>
    <row r="43" ht="16.5" customHeight="1">
      <c r="A43" s="366" t="s">
        <v>505</v>
      </c>
    </row>
    <row r="44" ht="16.5" customHeight="1"/>
  </sheetData>
  <sheetProtection/>
  <mergeCells count="7">
    <mergeCell ref="A1:F1"/>
    <mergeCell ref="A5:A6"/>
    <mergeCell ref="D5:F5"/>
    <mergeCell ref="A3:F3"/>
    <mergeCell ref="A2:F2"/>
    <mergeCell ref="B5:C6"/>
    <mergeCell ref="E6:F6"/>
  </mergeCells>
  <printOptions/>
  <pageMargins left="0.89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61" sqref="C61"/>
    </sheetView>
  </sheetViews>
  <sheetFormatPr defaultColWidth="9.00390625" defaultRowHeight="15"/>
  <cols>
    <col min="1" max="1" width="44.421875" style="36" bestFit="1" customWidth="1"/>
    <col min="2" max="2" width="39.00390625" style="36" customWidth="1"/>
    <col min="3" max="3" width="44.140625" style="36" customWidth="1"/>
    <col min="4" max="4" width="7.421875" style="36" bestFit="1" customWidth="1"/>
    <col min="5" max="16384" width="9.00390625" style="36" customWidth="1"/>
  </cols>
  <sheetData>
    <row r="1" spans="1:3" ht="21">
      <c r="A1" s="80"/>
      <c r="B1" s="80"/>
      <c r="C1" s="80"/>
    </row>
    <row r="2" spans="1:3" ht="27.75" customHeight="1">
      <c r="A2" s="80"/>
      <c r="B2" s="80"/>
      <c r="C2" s="80"/>
    </row>
    <row r="3" spans="1:3" ht="21">
      <c r="A3" s="80" t="s">
        <v>71</v>
      </c>
      <c r="B3" s="80" t="s">
        <v>90</v>
      </c>
      <c r="C3" s="80" t="s">
        <v>133</v>
      </c>
    </row>
    <row r="4" spans="1:3" ht="21">
      <c r="A4" s="80" t="s">
        <v>72</v>
      </c>
      <c r="B4" s="80" t="s">
        <v>72</v>
      </c>
      <c r="C4" s="80" t="s">
        <v>72</v>
      </c>
    </row>
    <row r="5" spans="1:3" ht="21">
      <c r="A5" s="80" t="s">
        <v>62</v>
      </c>
      <c r="B5" s="80" t="s">
        <v>62</v>
      </c>
      <c r="C5" s="80" t="s">
        <v>62</v>
      </c>
    </row>
    <row r="6" spans="1:3" ht="21">
      <c r="A6" s="81" t="s">
        <v>73</v>
      </c>
      <c r="B6" s="81" t="s">
        <v>73</v>
      </c>
      <c r="C6" s="81" t="s">
        <v>1</v>
      </c>
    </row>
    <row r="8" spans="1:5" ht="21">
      <c r="A8" s="82" t="s">
        <v>74</v>
      </c>
      <c r="B8" s="82" t="s">
        <v>74</v>
      </c>
      <c r="C8" s="10" t="s">
        <v>107</v>
      </c>
      <c r="D8" s="8"/>
      <c r="E8" s="8"/>
    </row>
    <row r="9" spans="1:5" ht="21">
      <c r="A9" s="82" t="s">
        <v>75</v>
      </c>
      <c r="B9" s="82"/>
      <c r="C9" s="18" t="s">
        <v>108</v>
      </c>
      <c r="D9" s="8"/>
      <c r="E9" s="8"/>
    </row>
    <row r="10" spans="2:5" ht="21">
      <c r="B10" s="82" t="s">
        <v>91</v>
      </c>
      <c r="C10" s="8"/>
      <c r="E10" s="8"/>
    </row>
    <row r="11" spans="1:3" ht="21">
      <c r="A11" s="82"/>
      <c r="B11" s="82" t="s">
        <v>92</v>
      </c>
      <c r="C11" s="8"/>
    </row>
    <row r="12" spans="1:3" ht="21">
      <c r="A12" s="82"/>
      <c r="B12" s="82" t="s">
        <v>93</v>
      </c>
      <c r="C12" s="8"/>
    </row>
    <row r="13" spans="1:3" ht="21">
      <c r="A13" s="82"/>
      <c r="B13" s="82" t="s">
        <v>94</v>
      </c>
      <c r="C13" s="8"/>
    </row>
    <row r="14" spans="1:3" ht="21">
      <c r="A14" s="82"/>
      <c r="B14" s="82" t="s">
        <v>95</v>
      </c>
      <c r="C14" s="8"/>
    </row>
    <row r="15" spans="1:3" ht="21">
      <c r="A15" s="82" t="s">
        <v>76</v>
      </c>
      <c r="B15" s="82"/>
      <c r="C15" s="18" t="s">
        <v>125</v>
      </c>
    </row>
    <row r="16" spans="1:3" ht="21">
      <c r="A16" s="82" t="s">
        <v>4</v>
      </c>
      <c r="B16" s="82"/>
      <c r="C16" s="18" t="s">
        <v>126</v>
      </c>
    </row>
    <row r="17" ht="21">
      <c r="C17" s="18" t="s">
        <v>8</v>
      </c>
    </row>
    <row r="18" spans="1:3" ht="21">
      <c r="A18" s="36" t="s">
        <v>77</v>
      </c>
      <c r="B18" s="36" t="s">
        <v>96</v>
      </c>
      <c r="C18" s="8" t="s">
        <v>109</v>
      </c>
    </row>
    <row r="19" spans="1:3" ht="21">
      <c r="A19" s="82" t="s">
        <v>7</v>
      </c>
      <c r="B19" s="82" t="s">
        <v>7</v>
      </c>
      <c r="C19" s="18" t="s">
        <v>110</v>
      </c>
    </row>
    <row r="20" spans="1:3" ht="21">
      <c r="A20" s="82" t="s">
        <v>78</v>
      </c>
      <c r="B20" s="82" t="s">
        <v>78</v>
      </c>
      <c r="C20" s="8"/>
    </row>
    <row r="21" spans="1:3" ht="21">
      <c r="A21" s="82" t="s">
        <v>79</v>
      </c>
      <c r="B21" s="82" t="s">
        <v>79</v>
      </c>
      <c r="C21" s="8"/>
    </row>
    <row r="22" spans="1:3" ht="21">
      <c r="A22" s="82" t="s">
        <v>80</v>
      </c>
      <c r="B22" s="82"/>
      <c r="C22" s="8" t="s">
        <v>111</v>
      </c>
    </row>
    <row r="23" spans="1:3" ht="21">
      <c r="A23" s="82"/>
      <c r="B23" s="82"/>
      <c r="C23" s="18" t="s">
        <v>10</v>
      </c>
    </row>
    <row r="24" spans="1:3" ht="21">
      <c r="A24" s="82"/>
      <c r="B24" s="82"/>
      <c r="C24" s="18" t="s">
        <v>112</v>
      </c>
    </row>
    <row r="25" spans="2:3" ht="21">
      <c r="B25" s="82" t="s">
        <v>9</v>
      </c>
      <c r="C25" s="18" t="s">
        <v>9</v>
      </c>
    </row>
    <row r="26" ht="21">
      <c r="C26" s="18" t="s">
        <v>115</v>
      </c>
    </row>
    <row r="27" ht="21">
      <c r="C27" s="36" t="s">
        <v>127</v>
      </c>
    </row>
    <row r="28" spans="1:3" ht="21">
      <c r="A28" s="82" t="s">
        <v>81</v>
      </c>
      <c r="C28" s="18" t="s">
        <v>12</v>
      </c>
    </row>
    <row r="29" ht="21">
      <c r="C29" s="18" t="s">
        <v>113</v>
      </c>
    </row>
    <row r="30" ht="21">
      <c r="C30" s="18" t="s">
        <v>114</v>
      </c>
    </row>
    <row r="31" ht="21">
      <c r="C31" s="36" t="s">
        <v>128</v>
      </c>
    </row>
    <row r="32" spans="1:5" ht="21">
      <c r="A32" s="36" t="s">
        <v>82</v>
      </c>
      <c r="B32" s="36" t="s">
        <v>82</v>
      </c>
      <c r="C32" s="36" t="s">
        <v>82</v>
      </c>
      <c r="D32" s="18"/>
      <c r="E32" s="8"/>
    </row>
    <row r="33" spans="4:5" ht="21">
      <c r="D33" s="18"/>
      <c r="E33" s="8"/>
    </row>
    <row r="34" spans="1:3" ht="21">
      <c r="A34" s="83" t="s">
        <v>30</v>
      </c>
      <c r="B34" s="83" t="s">
        <v>30</v>
      </c>
      <c r="C34" s="84" t="s">
        <v>15</v>
      </c>
    </row>
    <row r="35" ht="21">
      <c r="C35" s="8"/>
    </row>
    <row r="36" spans="1:6" ht="21">
      <c r="A36" s="82" t="s">
        <v>84</v>
      </c>
      <c r="B36" s="82" t="s">
        <v>84</v>
      </c>
      <c r="C36" s="10" t="s">
        <v>116</v>
      </c>
      <c r="E36" s="8"/>
      <c r="F36" s="8"/>
    </row>
    <row r="37" spans="1:6" ht="21">
      <c r="A37" s="85" t="s">
        <v>87</v>
      </c>
      <c r="B37" s="85" t="s">
        <v>98</v>
      </c>
      <c r="C37" s="18" t="s">
        <v>119</v>
      </c>
      <c r="E37" s="8"/>
      <c r="F37" s="8"/>
    </row>
    <row r="38" spans="1:6" ht="21">
      <c r="A38" s="82"/>
      <c r="B38" s="82"/>
      <c r="C38" s="18" t="s">
        <v>120</v>
      </c>
      <c r="E38" s="8"/>
      <c r="F38" s="8"/>
    </row>
    <row r="39" spans="1:6" ht="21">
      <c r="A39" s="85" t="s">
        <v>83</v>
      </c>
      <c r="B39" s="85" t="s">
        <v>100</v>
      </c>
      <c r="C39" s="18" t="s">
        <v>20</v>
      </c>
      <c r="E39" s="8"/>
      <c r="F39" s="8"/>
    </row>
    <row r="40" spans="1:6" ht="21">
      <c r="A40" s="85" t="s">
        <v>86</v>
      </c>
      <c r="B40" s="85" t="s">
        <v>97</v>
      </c>
      <c r="C40" s="18" t="s">
        <v>118</v>
      </c>
      <c r="F40" s="8"/>
    </row>
    <row r="41" spans="1:6" ht="21">
      <c r="A41" s="85"/>
      <c r="B41" s="85"/>
      <c r="C41" s="18" t="s">
        <v>123</v>
      </c>
      <c r="F41" s="8"/>
    </row>
    <row r="42" spans="1:6" ht="21">
      <c r="A42" s="82"/>
      <c r="B42" s="82"/>
      <c r="C42" s="36" t="s">
        <v>129</v>
      </c>
      <c r="E42" s="8"/>
      <c r="F42" s="8"/>
    </row>
    <row r="43" spans="1:6" ht="21">
      <c r="A43" s="85" t="s">
        <v>85</v>
      </c>
      <c r="B43" s="85"/>
      <c r="C43" s="18" t="s">
        <v>117</v>
      </c>
      <c r="E43" s="10"/>
      <c r="F43" s="8"/>
    </row>
    <row r="44" ht="21">
      <c r="C44" s="8" t="s">
        <v>130</v>
      </c>
    </row>
    <row r="45" ht="21">
      <c r="C45" s="36" t="s">
        <v>131</v>
      </c>
    </row>
    <row r="46" spans="1:6" ht="21">
      <c r="A46" s="85" t="s">
        <v>88</v>
      </c>
      <c r="B46" s="85" t="s">
        <v>99</v>
      </c>
      <c r="F46" s="8"/>
    </row>
    <row r="47" spans="1:6" ht="21">
      <c r="A47" s="85"/>
      <c r="B47" s="85" t="s">
        <v>124</v>
      </c>
      <c r="F47" s="8"/>
    </row>
    <row r="48" spans="1:6" ht="21">
      <c r="A48" s="85" t="s">
        <v>89</v>
      </c>
      <c r="B48" s="85" t="s">
        <v>102</v>
      </c>
      <c r="C48" s="18" t="s">
        <v>121</v>
      </c>
      <c r="F48" s="8"/>
    </row>
    <row r="49" spans="2:6" ht="21">
      <c r="B49" s="36" t="s">
        <v>103</v>
      </c>
      <c r="F49" s="8"/>
    </row>
    <row r="50" spans="2:6" ht="21">
      <c r="B50" s="36" t="s">
        <v>104</v>
      </c>
      <c r="F50" s="8"/>
    </row>
    <row r="51" spans="2:6" ht="21">
      <c r="B51" s="36" t="s">
        <v>105</v>
      </c>
      <c r="F51" s="8"/>
    </row>
    <row r="52" spans="2:6" ht="21">
      <c r="B52" s="36" t="s">
        <v>101</v>
      </c>
      <c r="F52" s="8"/>
    </row>
    <row r="53" spans="2:6" ht="21">
      <c r="B53" s="36" t="s">
        <v>26</v>
      </c>
      <c r="C53" s="18" t="s">
        <v>122</v>
      </c>
      <c r="F53" s="8"/>
    </row>
    <row r="54" spans="3:6" ht="21">
      <c r="C54" s="36" t="s">
        <v>132</v>
      </c>
      <c r="F54" s="8"/>
    </row>
    <row r="55" spans="1:6" ht="21">
      <c r="A55" s="85" t="s">
        <v>106</v>
      </c>
      <c r="B55" s="85" t="s">
        <v>106</v>
      </c>
      <c r="C55" s="18" t="s">
        <v>28</v>
      </c>
      <c r="F55" s="8"/>
    </row>
    <row r="56" ht="21">
      <c r="F56" s="8"/>
    </row>
    <row r="57" ht="21">
      <c r="F57" s="8"/>
    </row>
    <row r="58" ht="21">
      <c r="F58" s="8"/>
    </row>
    <row r="59" ht="21">
      <c r="F59" s="8"/>
    </row>
    <row r="60" ht="21">
      <c r="F60" s="8"/>
    </row>
    <row r="61" ht="21">
      <c r="F61" s="8"/>
    </row>
  </sheetData>
  <sheetProtection/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1" sqref="D21"/>
    </sheetView>
  </sheetViews>
  <sheetFormatPr defaultColWidth="9.00390625" defaultRowHeight="15"/>
  <cols>
    <col min="1" max="1" width="39.7109375" style="87" bestFit="1" customWidth="1"/>
    <col min="2" max="2" width="40.7109375" style="87" bestFit="1" customWidth="1"/>
    <col min="3" max="3" width="39.7109375" style="87" bestFit="1" customWidth="1"/>
    <col min="4" max="16384" width="9.00390625" style="87" customWidth="1"/>
  </cols>
  <sheetData>
    <row r="1" spans="1:3" ht="21">
      <c r="A1" s="86" t="s">
        <v>134</v>
      </c>
      <c r="B1" s="86" t="s">
        <v>166</v>
      </c>
      <c r="C1" s="86" t="s">
        <v>167</v>
      </c>
    </row>
    <row r="2" spans="1:3" ht="21">
      <c r="A2" s="88" t="s">
        <v>135</v>
      </c>
      <c r="B2" s="88" t="s">
        <v>160</v>
      </c>
      <c r="C2" s="88" t="s">
        <v>135</v>
      </c>
    </row>
    <row r="3" spans="1:3" ht="21">
      <c r="A3" s="86" t="s">
        <v>145</v>
      </c>
      <c r="B3" s="86" t="s">
        <v>159</v>
      </c>
      <c r="C3" s="86" t="s">
        <v>145</v>
      </c>
    </row>
    <row r="4" spans="1:3" ht="21">
      <c r="A4" s="89" t="s">
        <v>63</v>
      </c>
      <c r="B4" s="89" t="s">
        <v>63</v>
      </c>
      <c r="C4" s="89" t="s">
        <v>63</v>
      </c>
    </row>
    <row r="5" spans="1:3" ht="21">
      <c r="A5" s="8" t="s">
        <v>136</v>
      </c>
      <c r="B5" s="8" t="s">
        <v>136</v>
      </c>
      <c r="C5" s="8" t="s">
        <v>263</v>
      </c>
    </row>
    <row r="6" spans="1:3" ht="21">
      <c r="A6" s="8" t="s">
        <v>137</v>
      </c>
      <c r="B6" s="8" t="s">
        <v>137</v>
      </c>
      <c r="C6" s="8" t="s">
        <v>264</v>
      </c>
    </row>
    <row r="7" spans="1:3" ht="21">
      <c r="A7" s="8" t="s">
        <v>138</v>
      </c>
      <c r="B7" s="8" t="s">
        <v>138</v>
      </c>
      <c r="C7" s="8" t="s">
        <v>265</v>
      </c>
    </row>
    <row r="8" spans="1:3" ht="21">
      <c r="A8" s="8" t="s">
        <v>139</v>
      </c>
      <c r="B8" s="8" t="s">
        <v>139</v>
      </c>
      <c r="C8" s="8" t="s">
        <v>266</v>
      </c>
    </row>
    <row r="9" spans="1:3" ht="21">
      <c r="A9" s="8"/>
      <c r="B9" s="90" t="s">
        <v>165</v>
      </c>
      <c r="C9" s="8"/>
    </row>
    <row r="10" spans="1:3" ht="21">
      <c r="A10" s="8" t="s">
        <v>140</v>
      </c>
      <c r="B10" s="8" t="s">
        <v>140</v>
      </c>
      <c r="C10" s="8" t="s">
        <v>267</v>
      </c>
    </row>
    <row r="11" spans="1:3" ht="21">
      <c r="A11" s="8" t="s">
        <v>141</v>
      </c>
      <c r="B11" s="8" t="s">
        <v>141</v>
      </c>
      <c r="C11" s="90" t="s">
        <v>168</v>
      </c>
    </row>
    <row r="12" spans="1:3" ht="21">
      <c r="A12" s="90" t="s">
        <v>142</v>
      </c>
      <c r="B12" s="90" t="s">
        <v>56</v>
      </c>
      <c r="C12" s="90" t="s">
        <v>169</v>
      </c>
    </row>
    <row r="13" spans="1:3" ht="21">
      <c r="A13" s="91" t="s">
        <v>143</v>
      </c>
      <c r="B13" s="91" t="s">
        <v>161</v>
      </c>
      <c r="C13" s="91" t="s">
        <v>170</v>
      </c>
    </row>
    <row r="14" spans="1:3" ht="21">
      <c r="A14" s="87" t="s">
        <v>144</v>
      </c>
      <c r="B14" s="87" t="s">
        <v>144</v>
      </c>
      <c r="C14" s="87" t="s">
        <v>144</v>
      </c>
    </row>
    <row r="16" spans="1:3" ht="21">
      <c r="A16" s="89" t="s">
        <v>64</v>
      </c>
      <c r="B16" s="89" t="s">
        <v>64</v>
      </c>
      <c r="C16" s="89" t="s">
        <v>64</v>
      </c>
    </row>
    <row r="17" spans="1:3" ht="21">
      <c r="A17" s="92" t="s">
        <v>146</v>
      </c>
      <c r="B17" s="92" t="s">
        <v>146</v>
      </c>
      <c r="C17" s="92"/>
    </row>
    <row r="18" spans="1:3" ht="21">
      <c r="A18" s="92"/>
      <c r="B18" s="92"/>
      <c r="C18" s="92" t="s">
        <v>171</v>
      </c>
    </row>
    <row r="19" spans="1:3" ht="21">
      <c r="A19" s="92"/>
      <c r="B19" s="92"/>
      <c r="C19" s="92" t="s">
        <v>172</v>
      </c>
    </row>
    <row r="20" spans="1:3" ht="21">
      <c r="A20" s="92" t="s">
        <v>147</v>
      </c>
      <c r="B20" s="92" t="s">
        <v>147</v>
      </c>
      <c r="C20" s="92"/>
    </row>
    <row r="21" spans="1:3" ht="21">
      <c r="A21" s="92" t="s">
        <v>148</v>
      </c>
      <c r="B21" s="92" t="s">
        <v>148</v>
      </c>
      <c r="C21" s="92"/>
    </row>
    <row r="22" spans="1:3" ht="21">
      <c r="A22" s="87" t="s">
        <v>149</v>
      </c>
      <c r="B22" s="87" t="s">
        <v>149</v>
      </c>
      <c r="C22" s="87" t="s">
        <v>149</v>
      </c>
    </row>
    <row r="23" spans="1:3" ht="21">
      <c r="A23" s="87" t="s">
        <v>150</v>
      </c>
      <c r="B23" s="87" t="s">
        <v>150</v>
      </c>
      <c r="C23" s="87" t="s">
        <v>150</v>
      </c>
    </row>
    <row r="24" spans="1:3" ht="21">
      <c r="A24" s="87" t="s">
        <v>151</v>
      </c>
      <c r="B24" s="87" t="s">
        <v>151</v>
      </c>
      <c r="C24" s="87" t="s">
        <v>151</v>
      </c>
    </row>
    <row r="25" spans="1:3" ht="21">
      <c r="A25" s="87" t="s">
        <v>152</v>
      </c>
      <c r="B25" s="87" t="s">
        <v>152</v>
      </c>
      <c r="C25" s="87" t="s">
        <v>152</v>
      </c>
    </row>
    <row r="26" spans="1:3" ht="21">
      <c r="A26" s="87" t="s">
        <v>56</v>
      </c>
      <c r="B26" s="87" t="s">
        <v>56</v>
      </c>
      <c r="C26" s="87" t="s">
        <v>56</v>
      </c>
    </row>
    <row r="27" spans="1:3" ht="21">
      <c r="A27" s="87" t="s">
        <v>153</v>
      </c>
      <c r="B27" s="87" t="s">
        <v>153</v>
      </c>
      <c r="C27" s="87" t="s">
        <v>153</v>
      </c>
    </row>
    <row r="28" spans="1:3" ht="21">
      <c r="A28" s="87" t="s">
        <v>154</v>
      </c>
      <c r="B28" s="87" t="s">
        <v>154</v>
      </c>
      <c r="C28" s="87" t="s">
        <v>154</v>
      </c>
    </row>
    <row r="29" spans="1:3" s="92" customFormat="1" ht="21">
      <c r="A29" s="92" t="s">
        <v>155</v>
      </c>
      <c r="B29" s="92" t="s">
        <v>162</v>
      </c>
      <c r="C29" s="92" t="s">
        <v>155</v>
      </c>
    </row>
    <row r="30" spans="1:3" s="92" customFormat="1" ht="21">
      <c r="A30" s="92" t="s">
        <v>156</v>
      </c>
      <c r="B30" s="92" t="s">
        <v>163</v>
      </c>
      <c r="C30" s="92" t="s">
        <v>156</v>
      </c>
    </row>
    <row r="31" ht="21">
      <c r="B31" s="92" t="s">
        <v>164</v>
      </c>
    </row>
    <row r="32" spans="1:3" ht="21">
      <c r="A32" s="87" t="s">
        <v>157</v>
      </c>
      <c r="B32" s="87" t="s">
        <v>157</v>
      </c>
      <c r="C32" s="87" t="s">
        <v>157</v>
      </c>
    </row>
    <row r="33" spans="1:3" ht="21">
      <c r="A33" s="87" t="s">
        <v>158</v>
      </c>
      <c r="B33" s="87" t="s">
        <v>158</v>
      </c>
      <c r="C33" s="87" t="s">
        <v>158</v>
      </c>
    </row>
    <row r="38" spans="1:14" ht="21">
      <c r="A38" s="52" t="s">
        <v>364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1" thickBot="1">
      <c r="A40" s="1" t="s">
        <v>365</v>
      </c>
      <c r="B40" s="1" t="s">
        <v>61</v>
      </c>
      <c r="C40" s="109"/>
      <c r="D40" s="61" t="s">
        <v>366</v>
      </c>
      <c r="E40" s="1" t="s">
        <v>367</v>
      </c>
      <c r="F40" s="1"/>
      <c r="G40" s="1"/>
      <c r="H40" s="1" t="s">
        <v>370</v>
      </c>
      <c r="I40" s="1"/>
      <c r="J40" s="1"/>
      <c r="K40" s="109"/>
      <c r="L40" s="1" t="s">
        <v>366</v>
      </c>
      <c r="M40" s="1" t="s">
        <v>367</v>
      </c>
      <c r="N40" s="1"/>
    </row>
    <row r="41" spans="1:14" ht="21" thickTop="1">
      <c r="A41" s="1"/>
      <c r="B41" s="1"/>
      <c r="C41" s="1"/>
      <c r="D41" s="6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1" thickBot="1">
      <c r="A42" s="1"/>
      <c r="B42" s="110" t="s">
        <v>368</v>
      </c>
      <c r="C42" s="109"/>
      <c r="D42" s="61" t="s">
        <v>366</v>
      </c>
      <c r="G42" s="1"/>
      <c r="H42" s="1"/>
      <c r="I42" s="1"/>
      <c r="J42" s="110" t="s">
        <v>368</v>
      </c>
      <c r="K42" s="1"/>
      <c r="L42" s="1"/>
      <c r="M42" s="109"/>
      <c r="N42" s="1" t="s">
        <v>366</v>
      </c>
    </row>
    <row r="43" spans="1:14" ht="21.75" thickBot="1" thickTop="1">
      <c r="A43" s="1"/>
      <c r="B43" s="1" t="s">
        <v>369</v>
      </c>
      <c r="C43" s="111"/>
      <c r="D43" s="61" t="s">
        <v>366</v>
      </c>
      <c r="G43" s="1"/>
      <c r="H43" s="1"/>
      <c r="I43" s="1"/>
      <c r="J43" s="1" t="s">
        <v>369</v>
      </c>
      <c r="K43" s="1"/>
      <c r="L43" s="1"/>
      <c r="M43" s="111"/>
      <c r="N43" s="1" t="s">
        <v>366</v>
      </c>
    </row>
    <row r="44" spans="1:14" ht="21" thickTop="1">
      <c r="A44" s="1"/>
      <c r="B44" s="1"/>
      <c r="C44" s="1"/>
      <c r="D44" s="6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ht="21">
      <c r="D45" s="86"/>
    </row>
    <row r="46" spans="1:7" ht="21" thickBot="1">
      <c r="A46" s="1" t="s">
        <v>371</v>
      </c>
      <c r="B46" s="1" t="s">
        <v>61</v>
      </c>
      <c r="C46" s="109"/>
      <c r="D46" s="61" t="s">
        <v>366</v>
      </c>
      <c r="E46" s="1" t="s">
        <v>367</v>
      </c>
      <c r="F46" s="1"/>
      <c r="G46" s="1"/>
    </row>
    <row r="47" spans="1:7" ht="21" thickTop="1">
      <c r="A47" s="1"/>
      <c r="B47" s="1"/>
      <c r="C47" s="1"/>
      <c r="D47" s="61"/>
      <c r="E47" s="1"/>
      <c r="F47" s="1"/>
      <c r="G47" s="1"/>
    </row>
    <row r="48" spans="1:7" ht="21" thickBot="1">
      <c r="A48" s="1"/>
      <c r="B48" s="110" t="s">
        <v>368</v>
      </c>
      <c r="C48" s="109"/>
      <c r="D48" s="61" t="s">
        <v>366</v>
      </c>
      <c r="G48" s="1"/>
    </row>
    <row r="49" spans="1:7" ht="21.75" thickBot="1" thickTop="1">
      <c r="A49" s="1"/>
      <c r="B49" s="1" t="s">
        <v>369</v>
      </c>
      <c r="C49" s="111"/>
      <c r="D49" s="61" t="s">
        <v>366</v>
      </c>
      <c r="G49" s="1"/>
    </row>
    <row r="50" spans="1:7" ht="21" thickTop="1">
      <c r="A50" s="1"/>
      <c r="B50" s="1"/>
      <c r="C50" s="1"/>
      <c r="D50" s="1"/>
      <c r="E50" s="1"/>
      <c r="F50" s="1"/>
      <c r="G50" s="1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56"/>
  <sheetViews>
    <sheetView zoomScale="120" zoomScaleNormal="120" zoomScalePageLayoutView="0" workbookViewId="0" topLeftCell="A1">
      <pane ySplit="1" topLeftCell="A11" activePane="bottomLeft" state="frozen"/>
      <selection pane="topLeft" activeCell="A1" sqref="A1"/>
      <selection pane="bottomLeft" activeCell="A56" sqref="A56:C56"/>
    </sheetView>
  </sheetViews>
  <sheetFormatPr defaultColWidth="9.00390625" defaultRowHeight="15"/>
  <cols>
    <col min="1" max="3" width="34.8515625" style="7" bestFit="1" customWidth="1"/>
    <col min="4" max="16384" width="9.00390625" style="7" customWidth="1"/>
  </cols>
  <sheetData>
    <row r="1" spans="1:3" ht="21">
      <c r="A1" s="93" t="s">
        <v>134</v>
      </c>
      <c r="B1" s="93" t="s">
        <v>166</v>
      </c>
      <c r="C1" s="93" t="s">
        <v>167</v>
      </c>
    </row>
    <row r="2" spans="1:3" ht="21">
      <c r="A2" s="93" t="s">
        <v>51</v>
      </c>
      <c r="B2" s="93" t="s">
        <v>51</v>
      </c>
      <c r="C2" s="93" t="s">
        <v>51</v>
      </c>
    </row>
    <row r="3" spans="1:3" ht="21">
      <c r="A3" s="20" t="s">
        <v>173</v>
      </c>
      <c r="B3" s="20" t="s">
        <v>173</v>
      </c>
      <c r="C3" s="20" t="s">
        <v>159</v>
      </c>
    </row>
    <row r="4" spans="1:3" ht="21">
      <c r="A4" s="7" t="s">
        <v>174</v>
      </c>
      <c r="B4" s="7" t="s">
        <v>174</v>
      </c>
      <c r="C4" s="7" t="s">
        <v>174</v>
      </c>
    </row>
    <row r="5" spans="1:3" ht="21">
      <c r="A5" s="7" t="s">
        <v>175</v>
      </c>
      <c r="B5" s="7" t="s">
        <v>175</v>
      </c>
      <c r="C5" s="7" t="s">
        <v>175</v>
      </c>
    </row>
    <row r="6" spans="1:3" ht="21">
      <c r="A6" s="7" t="s">
        <v>176</v>
      </c>
      <c r="B6" s="7" t="s">
        <v>176</v>
      </c>
      <c r="C6" s="7" t="s">
        <v>176</v>
      </c>
    </row>
    <row r="8" spans="1:3" ht="21">
      <c r="A8" s="94" t="s">
        <v>68</v>
      </c>
      <c r="B8" s="94" t="s">
        <v>68</v>
      </c>
      <c r="C8" s="94" t="s">
        <v>68</v>
      </c>
    </row>
    <row r="9" spans="1:3" ht="21">
      <c r="A9" s="20" t="s">
        <v>177</v>
      </c>
      <c r="B9" s="20" t="s">
        <v>177</v>
      </c>
      <c r="C9" s="20" t="s">
        <v>177</v>
      </c>
    </row>
    <row r="18" spans="1:3" ht="21">
      <c r="A18" s="20" t="s">
        <v>178</v>
      </c>
      <c r="B18" s="20" t="s">
        <v>178</v>
      </c>
      <c r="C18" s="20" t="s">
        <v>178</v>
      </c>
    </row>
    <row r="20" spans="1:3" ht="21">
      <c r="A20" s="93" t="s">
        <v>179</v>
      </c>
      <c r="B20" s="93" t="s">
        <v>179</v>
      </c>
      <c r="C20" s="93" t="s">
        <v>179</v>
      </c>
    </row>
    <row r="21" spans="1:2" ht="21">
      <c r="A21" s="8" t="s">
        <v>67</v>
      </c>
      <c r="B21" s="8"/>
    </row>
    <row r="22" spans="1:2" ht="21">
      <c r="A22" s="8"/>
      <c r="B22" s="8"/>
    </row>
    <row r="23" spans="1:2" ht="21">
      <c r="A23" s="8"/>
      <c r="B23" s="8"/>
    </row>
    <row r="24" spans="1:3" ht="21">
      <c r="A24" s="4" t="s">
        <v>32</v>
      </c>
      <c r="B24" s="4" t="s">
        <v>32</v>
      </c>
      <c r="C24" s="4" t="s">
        <v>32</v>
      </c>
    </row>
    <row r="25" spans="1:3" ht="21">
      <c r="A25" s="4" t="s">
        <v>33</v>
      </c>
      <c r="B25" s="4" t="s">
        <v>33</v>
      </c>
      <c r="C25" s="4" t="s">
        <v>33</v>
      </c>
    </row>
    <row r="26" spans="1:3" ht="21">
      <c r="A26" s="4" t="s">
        <v>34</v>
      </c>
      <c r="B26" s="4" t="s">
        <v>34</v>
      </c>
      <c r="C26" s="4" t="s">
        <v>34</v>
      </c>
    </row>
    <row r="27" spans="1:3" ht="21">
      <c r="A27" s="4" t="s">
        <v>35</v>
      </c>
      <c r="B27" s="4" t="s">
        <v>35</v>
      </c>
      <c r="C27" s="4" t="s">
        <v>35</v>
      </c>
    </row>
    <row r="28" spans="1:3" ht="21">
      <c r="A28" s="4" t="s">
        <v>36</v>
      </c>
      <c r="B28" s="4" t="s">
        <v>36</v>
      </c>
      <c r="C28" s="4" t="s">
        <v>36</v>
      </c>
    </row>
    <row r="29" spans="1:3" ht="21">
      <c r="A29" s="4" t="s">
        <v>37</v>
      </c>
      <c r="B29" s="4" t="s">
        <v>37</v>
      </c>
      <c r="C29" s="4" t="s">
        <v>37</v>
      </c>
    </row>
    <row r="30" spans="1:3" ht="21">
      <c r="A30" s="4" t="s">
        <v>38</v>
      </c>
      <c r="B30" s="4" t="s">
        <v>38</v>
      </c>
      <c r="C30" s="4" t="s">
        <v>38</v>
      </c>
    </row>
    <row r="31" spans="1:3" ht="21">
      <c r="A31" s="4" t="s">
        <v>39</v>
      </c>
      <c r="B31" s="4" t="s">
        <v>39</v>
      </c>
      <c r="C31" s="4" t="s">
        <v>39</v>
      </c>
    </row>
    <row r="32" spans="1:3" ht="21">
      <c r="A32" s="4" t="s">
        <v>40</v>
      </c>
      <c r="B32" s="4" t="s">
        <v>40</v>
      </c>
      <c r="C32" s="4" t="s">
        <v>40</v>
      </c>
    </row>
    <row r="33" spans="1:3" ht="21">
      <c r="A33" s="4" t="s">
        <v>41</v>
      </c>
      <c r="B33" s="4" t="s">
        <v>41</v>
      </c>
      <c r="C33" s="4" t="s">
        <v>41</v>
      </c>
    </row>
    <row r="34" spans="1:3" ht="21">
      <c r="A34" s="4" t="s">
        <v>42</v>
      </c>
      <c r="B34" s="4" t="s">
        <v>42</v>
      </c>
      <c r="C34" s="4" t="s">
        <v>42</v>
      </c>
    </row>
    <row r="35" spans="1:3" ht="21">
      <c r="A35" s="4" t="s">
        <v>43</v>
      </c>
      <c r="B35" s="4" t="s">
        <v>43</v>
      </c>
      <c r="C35" s="4" t="s">
        <v>43</v>
      </c>
    </row>
    <row r="36" spans="1:3" ht="21">
      <c r="A36" s="4" t="s">
        <v>44</v>
      </c>
      <c r="B36" s="4" t="s">
        <v>44</v>
      </c>
      <c r="C36" s="4" t="s">
        <v>44</v>
      </c>
    </row>
    <row r="37" spans="1:3" ht="21">
      <c r="A37" s="4" t="s">
        <v>45</v>
      </c>
      <c r="B37" s="4" t="s">
        <v>45</v>
      </c>
      <c r="C37" s="4" t="s">
        <v>45</v>
      </c>
    </row>
    <row r="38" spans="1:3" ht="21">
      <c r="A38" s="4" t="s">
        <v>46</v>
      </c>
      <c r="B38" s="4" t="s">
        <v>46</v>
      </c>
      <c r="C38" s="4" t="s">
        <v>46</v>
      </c>
    </row>
    <row r="39" spans="1:3" ht="21">
      <c r="A39" s="4" t="s">
        <v>47</v>
      </c>
      <c r="B39" s="4" t="s">
        <v>47</v>
      </c>
      <c r="C39" s="4" t="s">
        <v>47</v>
      </c>
    </row>
    <row r="40" spans="1:3" ht="21">
      <c r="A40" s="4" t="s">
        <v>48</v>
      </c>
      <c r="B40" s="4" t="s">
        <v>48</v>
      </c>
      <c r="C40" s="4" t="s">
        <v>48</v>
      </c>
    </row>
    <row r="41" spans="1:3" ht="21">
      <c r="A41" s="4" t="s">
        <v>31</v>
      </c>
      <c r="B41" s="4" t="s">
        <v>31</v>
      </c>
      <c r="C41" s="4" t="s">
        <v>31</v>
      </c>
    </row>
    <row r="42" spans="1:3" ht="21">
      <c r="A42" s="95" t="s">
        <v>49</v>
      </c>
      <c r="B42" s="95" t="s">
        <v>49</v>
      </c>
      <c r="C42" s="95" t="s">
        <v>49</v>
      </c>
    </row>
    <row r="43" spans="1:3" ht="21">
      <c r="A43" s="18" t="s">
        <v>50</v>
      </c>
      <c r="B43" s="18" t="s">
        <v>50</v>
      </c>
      <c r="C43" s="18" t="s">
        <v>50</v>
      </c>
    </row>
    <row r="46" spans="1:3" s="97" customFormat="1" ht="21">
      <c r="A46" s="96" t="s">
        <v>70</v>
      </c>
      <c r="B46" s="96" t="s">
        <v>70</v>
      </c>
      <c r="C46" s="96" t="s">
        <v>70</v>
      </c>
    </row>
    <row r="47" spans="1:3" ht="21">
      <c r="A47" s="98" t="s">
        <v>52</v>
      </c>
      <c r="B47" s="98" t="s">
        <v>52</v>
      </c>
      <c r="C47" s="98" t="s">
        <v>52</v>
      </c>
    </row>
    <row r="48" spans="1:3" ht="21">
      <c r="A48" s="98" t="s">
        <v>53</v>
      </c>
      <c r="B48" s="98" t="s">
        <v>53</v>
      </c>
      <c r="C48" s="98" t="s">
        <v>53</v>
      </c>
    </row>
    <row r="49" spans="1:3" ht="21">
      <c r="A49" s="98" t="s">
        <v>54</v>
      </c>
      <c r="B49" s="98" t="s">
        <v>54</v>
      </c>
      <c r="C49" s="98" t="s">
        <v>54</v>
      </c>
    </row>
    <row r="50" spans="1:3" ht="21">
      <c r="A50" s="98" t="s">
        <v>55</v>
      </c>
      <c r="B50" s="98" t="s">
        <v>55</v>
      </c>
      <c r="C50" s="98" t="s">
        <v>55</v>
      </c>
    </row>
    <row r="51" spans="1:3" ht="21">
      <c r="A51" s="98" t="s">
        <v>56</v>
      </c>
      <c r="B51" s="98" t="s">
        <v>56</v>
      </c>
      <c r="C51" s="98" t="s">
        <v>56</v>
      </c>
    </row>
    <row r="52" spans="1:3" ht="21">
      <c r="A52" s="98" t="s">
        <v>180</v>
      </c>
      <c r="B52" s="98" t="s">
        <v>180</v>
      </c>
      <c r="C52" s="98" t="s">
        <v>180</v>
      </c>
    </row>
    <row r="53" ht="21">
      <c r="C53" s="99" t="s">
        <v>57</v>
      </c>
    </row>
    <row r="54" ht="21">
      <c r="C54" s="99" t="s">
        <v>58</v>
      </c>
    </row>
    <row r="56" spans="1:3" ht="93.75" customHeight="1">
      <c r="A56" s="447" t="s">
        <v>342</v>
      </c>
      <c r="B56" s="447"/>
      <c r="C56" s="447"/>
    </row>
  </sheetData>
  <sheetProtection/>
  <mergeCells count="1">
    <mergeCell ref="A56:C56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54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C59" sqref="C59"/>
    </sheetView>
  </sheetViews>
  <sheetFormatPr defaultColWidth="9.00390625" defaultRowHeight="15"/>
  <cols>
    <col min="1" max="1" width="55.7109375" style="102" customWidth="1"/>
    <col min="2" max="2" width="79.421875" style="102" customWidth="1"/>
    <col min="3" max="16384" width="9.00390625" style="102" customWidth="1"/>
  </cols>
  <sheetData>
    <row r="1" spans="1:2" ht="23.25">
      <c r="A1" s="100" t="s">
        <v>269</v>
      </c>
      <c r="B1" s="101" t="s">
        <v>270</v>
      </c>
    </row>
    <row r="2" spans="1:2" ht="69.75">
      <c r="A2" s="103" t="s">
        <v>271</v>
      </c>
      <c r="B2" s="102" t="s">
        <v>272</v>
      </c>
    </row>
    <row r="3" spans="1:2" ht="69.75">
      <c r="A3" s="103" t="s">
        <v>273</v>
      </c>
      <c r="B3" s="102" t="s">
        <v>274</v>
      </c>
    </row>
    <row r="4" spans="1:2" ht="23.25">
      <c r="A4" s="102" t="s">
        <v>275</v>
      </c>
      <c r="B4" s="449" t="s">
        <v>277</v>
      </c>
    </row>
    <row r="5" spans="1:2" ht="23.25">
      <c r="A5" s="102" t="s">
        <v>276</v>
      </c>
      <c r="B5" s="449"/>
    </row>
    <row r="6" spans="1:2" ht="69.75">
      <c r="A6" s="103" t="s">
        <v>278</v>
      </c>
      <c r="B6" s="102" t="s">
        <v>268</v>
      </c>
    </row>
    <row r="7" spans="1:2" ht="69.75">
      <c r="A7" s="103" t="s">
        <v>279</v>
      </c>
      <c r="B7" s="104" t="s">
        <v>343</v>
      </c>
    </row>
    <row r="8" spans="1:2" ht="69.75">
      <c r="A8" s="102" t="s">
        <v>280</v>
      </c>
      <c r="B8" s="102" t="s">
        <v>281</v>
      </c>
    </row>
    <row r="9" spans="1:2" ht="93">
      <c r="A9" s="103" t="s">
        <v>282</v>
      </c>
      <c r="B9" s="102" t="s">
        <v>283</v>
      </c>
    </row>
    <row r="10" spans="1:2" ht="93">
      <c r="A10" s="103" t="s">
        <v>284</v>
      </c>
      <c r="B10" s="102" t="s">
        <v>344</v>
      </c>
    </row>
    <row r="11" spans="1:2" ht="46.5">
      <c r="A11" s="102" t="s">
        <v>285</v>
      </c>
      <c r="B11" s="102" t="s">
        <v>345</v>
      </c>
    </row>
    <row r="12" spans="1:2" ht="69.75">
      <c r="A12" s="103" t="s">
        <v>286</v>
      </c>
      <c r="B12" s="102" t="s">
        <v>346</v>
      </c>
    </row>
    <row r="13" spans="1:2" ht="69.75">
      <c r="A13" s="103" t="s">
        <v>287</v>
      </c>
      <c r="B13" s="102" t="s">
        <v>347</v>
      </c>
    </row>
    <row r="14" spans="1:2" ht="69.75">
      <c r="A14" s="102" t="s">
        <v>288</v>
      </c>
      <c r="B14" s="102" t="s">
        <v>348</v>
      </c>
    </row>
    <row r="15" spans="1:2" ht="46.5">
      <c r="A15" s="102" t="s">
        <v>289</v>
      </c>
      <c r="B15" s="102" t="s">
        <v>349</v>
      </c>
    </row>
    <row r="16" spans="1:2" ht="69.75">
      <c r="A16" s="103" t="s">
        <v>290</v>
      </c>
      <c r="B16" s="102" t="s">
        <v>291</v>
      </c>
    </row>
    <row r="17" spans="1:2" ht="69.75">
      <c r="A17" s="103" t="s">
        <v>292</v>
      </c>
      <c r="B17" s="102" t="s">
        <v>350</v>
      </c>
    </row>
    <row r="18" spans="1:2" ht="93">
      <c r="A18" s="103" t="s">
        <v>354</v>
      </c>
      <c r="B18" s="102" t="s">
        <v>293</v>
      </c>
    </row>
    <row r="19" spans="1:2" ht="69.75">
      <c r="A19" s="102" t="s">
        <v>294</v>
      </c>
      <c r="B19" s="102" t="s">
        <v>295</v>
      </c>
    </row>
    <row r="20" spans="1:2" ht="69.75">
      <c r="A20" s="103" t="s">
        <v>296</v>
      </c>
      <c r="B20" s="102" t="s">
        <v>351</v>
      </c>
    </row>
    <row r="21" spans="1:2" ht="69.75">
      <c r="A21" s="105" t="s">
        <v>353</v>
      </c>
      <c r="B21" s="102" t="s">
        <v>352</v>
      </c>
    </row>
    <row r="22" spans="1:2" ht="69.75">
      <c r="A22" s="103" t="s">
        <v>297</v>
      </c>
      <c r="B22" s="102" t="s">
        <v>298</v>
      </c>
    </row>
    <row r="23" spans="1:2" ht="46.5">
      <c r="A23" s="102" t="s">
        <v>299</v>
      </c>
      <c r="B23" s="102" t="s">
        <v>300</v>
      </c>
    </row>
    <row r="24" spans="1:2" ht="93">
      <c r="A24" s="103" t="s">
        <v>301</v>
      </c>
      <c r="B24" s="102" t="s">
        <v>302</v>
      </c>
    </row>
    <row r="25" spans="1:2" ht="69.75">
      <c r="A25" s="103" t="s">
        <v>303</v>
      </c>
      <c r="B25" s="102" t="s">
        <v>304</v>
      </c>
    </row>
    <row r="27" spans="1:2" ht="69.75">
      <c r="A27" s="102" t="s">
        <v>305</v>
      </c>
      <c r="B27" s="102" t="s">
        <v>306</v>
      </c>
    </row>
    <row r="28" spans="1:2" ht="69.75">
      <c r="A28" s="102" t="s">
        <v>307</v>
      </c>
      <c r="B28" s="102" t="s">
        <v>308</v>
      </c>
    </row>
    <row r="29" spans="1:2" ht="69.75">
      <c r="A29" s="102" t="s">
        <v>309</v>
      </c>
      <c r="B29" s="102" t="s">
        <v>361</v>
      </c>
    </row>
    <row r="30" spans="1:2" ht="69.75">
      <c r="A30" s="102" t="s">
        <v>310</v>
      </c>
      <c r="B30" s="102" t="s">
        <v>362</v>
      </c>
    </row>
    <row r="31" spans="1:2" ht="69.75">
      <c r="A31" s="102" t="s">
        <v>311</v>
      </c>
      <c r="B31" s="102" t="s">
        <v>312</v>
      </c>
    </row>
    <row r="32" spans="1:2" ht="69.75">
      <c r="A32" s="102" t="s">
        <v>313</v>
      </c>
      <c r="B32" s="102" t="s">
        <v>314</v>
      </c>
    </row>
    <row r="33" spans="1:2" ht="46.5">
      <c r="A33" s="102" t="s">
        <v>315</v>
      </c>
      <c r="B33" s="102" t="s">
        <v>316</v>
      </c>
    </row>
    <row r="34" spans="1:2" ht="46.5">
      <c r="A34" s="102" t="s">
        <v>317</v>
      </c>
      <c r="B34" s="102" t="s">
        <v>318</v>
      </c>
    </row>
    <row r="35" spans="1:2" ht="69.75">
      <c r="A35" s="102" t="s">
        <v>319</v>
      </c>
      <c r="B35" s="102" t="s">
        <v>320</v>
      </c>
    </row>
    <row r="36" spans="1:2" ht="117">
      <c r="A36" s="102" t="s">
        <v>321</v>
      </c>
      <c r="B36" s="102" t="s">
        <v>322</v>
      </c>
    </row>
    <row r="37" spans="1:2" ht="46.5">
      <c r="A37" s="102" t="s">
        <v>323</v>
      </c>
      <c r="B37" s="449" t="s">
        <v>355</v>
      </c>
    </row>
    <row r="38" spans="1:2" ht="23.25">
      <c r="A38" s="102" t="s">
        <v>324</v>
      </c>
      <c r="B38" s="449"/>
    </row>
    <row r="39" spans="1:2" ht="46.5">
      <c r="A39" s="102" t="s">
        <v>325</v>
      </c>
      <c r="B39" s="102" t="s">
        <v>326</v>
      </c>
    </row>
    <row r="40" spans="1:2" ht="93">
      <c r="A40" s="102" t="s">
        <v>327</v>
      </c>
      <c r="B40" s="102" t="s">
        <v>328</v>
      </c>
    </row>
    <row r="41" spans="1:2" ht="46.5">
      <c r="A41" s="102" t="s">
        <v>329</v>
      </c>
      <c r="B41" s="102" t="s">
        <v>363</v>
      </c>
    </row>
    <row r="42" spans="1:2" ht="69.75">
      <c r="A42" s="102" t="s">
        <v>330</v>
      </c>
      <c r="B42" s="102" t="s">
        <v>331</v>
      </c>
    </row>
    <row r="43" spans="1:2" ht="69.75">
      <c r="A43" s="102" t="s">
        <v>332</v>
      </c>
      <c r="B43" s="102" t="s">
        <v>333</v>
      </c>
    </row>
    <row r="44" spans="1:2" ht="69.75">
      <c r="A44" s="102" t="s">
        <v>334</v>
      </c>
      <c r="B44" s="102" t="s">
        <v>335</v>
      </c>
    </row>
    <row r="45" spans="1:2" ht="93">
      <c r="A45" s="102" t="s">
        <v>336</v>
      </c>
      <c r="B45" s="102" t="s">
        <v>337</v>
      </c>
    </row>
    <row r="46" spans="1:2" ht="69.75">
      <c r="A46" s="102" t="s">
        <v>338</v>
      </c>
      <c r="B46" s="102" t="s">
        <v>339</v>
      </c>
    </row>
    <row r="47" spans="1:2" ht="69.75">
      <c r="A47" s="102" t="s">
        <v>340</v>
      </c>
      <c r="B47" s="102" t="s">
        <v>341</v>
      </c>
    </row>
    <row r="50" ht="23.25">
      <c r="A50" s="106" t="s">
        <v>356</v>
      </c>
    </row>
    <row r="51" spans="1:2" ht="63" customHeight="1">
      <c r="A51" s="448" t="s">
        <v>357</v>
      </c>
      <c r="B51" s="448"/>
    </row>
    <row r="52" spans="1:2" ht="55.5" customHeight="1">
      <c r="A52" s="448" t="s">
        <v>358</v>
      </c>
      <c r="B52" s="448"/>
    </row>
    <row r="53" spans="1:2" ht="57.75" customHeight="1">
      <c r="A53" s="448" t="s">
        <v>359</v>
      </c>
      <c r="B53" s="448"/>
    </row>
    <row r="54" spans="1:2" ht="62.25" customHeight="1">
      <c r="A54" s="448" t="s">
        <v>360</v>
      </c>
      <c r="B54" s="448"/>
    </row>
  </sheetData>
  <sheetProtection/>
  <mergeCells count="6">
    <mergeCell ref="A54:B54"/>
    <mergeCell ref="B4:B5"/>
    <mergeCell ref="B37:B38"/>
    <mergeCell ref="A53:B53"/>
    <mergeCell ref="A52:B52"/>
    <mergeCell ref="A51:B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"/>
  <sheetViews>
    <sheetView zoomScalePageLayoutView="0" workbookViewId="0" topLeftCell="A1">
      <selection activeCell="M8" sqref="M8"/>
    </sheetView>
  </sheetViews>
  <sheetFormatPr defaultColWidth="9.00390625" defaultRowHeight="15"/>
  <cols>
    <col min="1" max="1" width="7.8515625" style="7" customWidth="1"/>
    <col min="2" max="2" width="10.7109375" style="7" customWidth="1"/>
    <col min="3" max="5" width="9.00390625" style="7" customWidth="1"/>
    <col min="6" max="6" width="3.140625" style="7" customWidth="1"/>
    <col min="7" max="7" width="11.8515625" style="7" customWidth="1"/>
    <col min="8" max="8" width="4.140625" style="7" customWidth="1"/>
    <col min="9" max="9" width="12.421875" style="7" customWidth="1"/>
    <col min="10" max="10" width="4.140625" style="7" customWidth="1"/>
    <col min="11" max="16384" width="9.00390625" style="7" customWidth="1"/>
  </cols>
  <sheetData>
    <row r="1" spans="1:10" ht="21">
      <c r="A1" s="412" t="str">
        <f>+งบแสดงฐานะการเงิน!A1</f>
        <v>องค์การบริหารส่วนตำบลคอกควาย</v>
      </c>
      <c r="B1" s="412"/>
      <c r="C1" s="412"/>
      <c r="D1" s="412"/>
      <c r="E1" s="412"/>
      <c r="F1" s="412"/>
      <c r="G1" s="412"/>
      <c r="H1" s="412"/>
      <c r="I1" s="412"/>
      <c r="J1" s="412"/>
    </row>
    <row r="2" spans="1:10" ht="21">
      <c r="A2" s="412" t="s">
        <v>194</v>
      </c>
      <c r="B2" s="412"/>
      <c r="C2" s="412"/>
      <c r="D2" s="412"/>
      <c r="E2" s="412"/>
      <c r="F2" s="412"/>
      <c r="G2" s="412"/>
      <c r="H2" s="412"/>
      <c r="I2" s="412"/>
      <c r="J2" s="412"/>
    </row>
    <row r="3" spans="1:10" ht="21">
      <c r="A3" s="412" t="s">
        <v>643</v>
      </c>
      <c r="B3" s="412"/>
      <c r="C3" s="412"/>
      <c r="D3" s="412"/>
      <c r="E3" s="412"/>
      <c r="F3" s="412"/>
      <c r="G3" s="412"/>
      <c r="H3" s="412"/>
      <c r="I3" s="412"/>
      <c r="J3" s="412"/>
    </row>
    <row r="4" spans="7:10" ht="21">
      <c r="G4" s="270"/>
      <c r="H4" s="224"/>
      <c r="I4" s="270"/>
      <c r="J4" s="224"/>
    </row>
    <row r="5" spans="1:9" ht="21">
      <c r="A5" s="186" t="s">
        <v>195</v>
      </c>
      <c r="G5" s="20">
        <v>2561</v>
      </c>
      <c r="I5" s="20">
        <v>2560</v>
      </c>
    </row>
    <row r="6" spans="6:10" ht="21">
      <c r="F6" s="188"/>
      <c r="G6" s="189"/>
      <c r="H6" s="188"/>
      <c r="I6" s="189"/>
      <c r="J6" s="188"/>
    </row>
    <row r="7" spans="2:10" ht="21">
      <c r="B7" s="188" t="s">
        <v>377</v>
      </c>
      <c r="C7" s="188"/>
      <c r="D7" s="188"/>
      <c r="E7" s="188"/>
      <c r="F7" s="188"/>
      <c r="G7" s="189">
        <v>16992600.22</v>
      </c>
      <c r="H7" s="188"/>
      <c r="I7" s="189">
        <v>16869313.75</v>
      </c>
      <c r="J7" s="188"/>
    </row>
    <row r="8" spans="2:10" ht="21">
      <c r="B8" s="188" t="s">
        <v>378</v>
      </c>
      <c r="C8" s="188"/>
      <c r="D8" s="188"/>
      <c r="E8" s="188"/>
      <c r="F8" s="188"/>
      <c r="G8" s="189">
        <v>27437105.17</v>
      </c>
      <c r="H8" s="188"/>
      <c r="I8" s="189">
        <v>26617683.23</v>
      </c>
      <c r="J8" s="188"/>
    </row>
    <row r="9" spans="2:10" ht="21">
      <c r="B9" s="188" t="s">
        <v>379</v>
      </c>
      <c r="C9" s="188"/>
      <c r="D9" s="188"/>
      <c r="E9" s="188"/>
      <c r="F9" s="188"/>
      <c r="G9" s="189">
        <v>1012432.53</v>
      </c>
      <c r="H9" s="188"/>
      <c r="I9" s="189">
        <v>971824.92</v>
      </c>
      <c r="J9" s="188"/>
    </row>
    <row r="10" spans="2:10" ht="21">
      <c r="B10" s="188" t="s">
        <v>422</v>
      </c>
      <c r="C10" s="188"/>
      <c r="D10" s="188"/>
      <c r="E10" s="188"/>
      <c r="F10" s="188"/>
      <c r="G10" s="189">
        <v>3065070.25</v>
      </c>
      <c r="H10" s="188"/>
      <c r="I10" s="189">
        <v>3053760.89</v>
      </c>
      <c r="J10" s="188"/>
    </row>
    <row r="11" spans="4:10" ht="21" thickBot="1">
      <c r="D11" s="20" t="s">
        <v>196</v>
      </c>
      <c r="E11" s="20"/>
      <c r="F11" s="188"/>
      <c r="G11" s="190">
        <f>SUM(G6:G10)</f>
        <v>48507208.17</v>
      </c>
      <c r="H11" s="188"/>
      <c r="I11" s="190">
        <f>SUM(I6:I10)</f>
        <v>47512582.79000001</v>
      </c>
      <c r="J11" s="188"/>
    </row>
    <row r="12" ht="21" thickTop="1"/>
  </sheetData>
  <sheetProtection/>
  <mergeCells count="3">
    <mergeCell ref="A3:J3"/>
    <mergeCell ref="A2:J2"/>
    <mergeCell ref="A1:J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H30"/>
  <sheetViews>
    <sheetView zoomScalePageLayoutView="0" workbookViewId="0" topLeftCell="A1">
      <selection activeCell="I15" sqref="I15"/>
    </sheetView>
  </sheetViews>
  <sheetFormatPr defaultColWidth="9.00390625" defaultRowHeight="15"/>
  <cols>
    <col min="1" max="1" width="9.00390625" style="7" customWidth="1"/>
    <col min="2" max="2" width="24.00390625" style="7" customWidth="1"/>
    <col min="3" max="3" width="18.421875" style="7" customWidth="1"/>
    <col min="4" max="5" width="14.421875" style="7" customWidth="1"/>
    <col min="6" max="16384" width="9.00390625" style="7" customWidth="1"/>
  </cols>
  <sheetData>
    <row r="1" spans="2:8" ht="21">
      <c r="B1" s="412" t="str">
        <f>+งบแสดงฐานะการเงิน!A1</f>
        <v>องค์การบริหารส่วนตำบลคอกควาย</v>
      </c>
      <c r="C1" s="412"/>
      <c r="D1" s="412"/>
      <c r="E1" s="412"/>
      <c r="F1" s="24"/>
      <c r="G1" s="24"/>
      <c r="H1" s="24"/>
    </row>
    <row r="2" spans="2:8" ht="21">
      <c r="B2" s="412" t="s">
        <v>194</v>
      </c>
      <c r="C2" s="412"/>
      <c r="D2" s="412"/>
      <c r="E2" s="412"/>
      <c r="F2" s="24"/>
      <c r="G2" s="24"/>
      <c r="H2" s="24"/>
    </row>
    <row r="3" spans="2:8" ht="21">
      <c r="B3" s="412" t="s">
        <v>644</v>
      </c>
      <c r="C3" s="412"/>
      <c r="D3" s="412"/>
      <c r="E3" s="412"/>
      <c r="F3" s="24"/>
      <c r="G3" s="24"/>
      <c r="H3" s="24"/>
    </row>
    <row r="4" spans="2:5" ht="21">
      <c r="B4" s="24"/>
      <c r="C4" s="24"/>
      <c r="D4" s="24"/>
      <c r="E4" s="24"/>
    </row>
    <row r="5" spans="2:5" ht="21">
      <c r="B5" s="24" t="s">
        <v>571</v>
      </c>
      <c r="C5" s="24"/>
      <c r="D5" s="24"/>
      <c r="E5" s="24"/>
    </row>
    <row r="6" spans="2:5" ht="21">
      <c r="B6" s="24" t="s">
        <v>557</v>
      </c>
      <c r="C6" s="24"/>
      <c r="D6" s="24"/>
      <c r="E6" s="24"/>
    </row>
    <row r="7" spans="2:5" ht="21">
      <c r="B7" s="289" t="s">
        <v>534</v>
      </c>
      <c r="C7" s="416" t="s">
        <v>535</v>
      </c>
      <c r="D7" s="417"/>
      <c r="E7" s="221" t="s">
        <v>61</v>
      </c>
    </row>
    <row r="8" spans="2:5" ht="21">
      <c r="B8" s="27" t="s">
        <v>536</v>
      </c>
      <c r="C8" s="421" t="s">
        <v>537</v>
      </c>
      <c r="D8" s="422"/>
      <c r="E8" s="30">
        <v>60000</v>
      </c>
    </row>
    <row r="9" spans="2:5" ht="21">
      <c r="B9" s="28" t="s">
        <v>538</v>
      </c>
      <c r="C9" s="413" t="s">
        <v>539</v>
      </c>
      <c r="D9" s="414"/>
      <c r="E9" s="31">
        <v>80000</v>
      </c>
    </row>
    <row r="10" spans="2:5" ht="21">
      <c r="B10" s="28" t="s">
        <v>540</v>
      </c>
      <c r="C10" s="413" t="s">
        <v>541</v>
      </c>
      <c r="D10" s="414"/>
      <c r="E10" s="31">
        <v>80000</v>
      </c>
    </row>
    <row r="11" spans="2:5" ht="21">
      <c r="B11" s="28" t="s">
        <v>542</v>
      </c>
      <c r="C11" s="413" t="s">
        <v>543</v>
      </c>
      <c r="D11" s="414"/>
      <c r="E11" s="31">
        <v>60000</v>
      </c>
    </row>
    <row r="12" spans="2:5" ht="21">
      <c r="B12" s="28" t="s">
        <v>544</v>
      </c>
      <c r="C12" s="413" t="s">
        <v>545</v>
      </c>
      <c r="D12" s="414"/>
      <c r="E12" s="31">
        <v>100000</v>
      </c>
    </row>
    <row r="13" spans="2:5" ht="21">
      <c r="B13" s="28" t="s">
        <v>546</v>
      </c>
      <c r="C13" s="413" t="s">
        <v>547</v>
      </c>
      <c r="D13" s="414"/>
      <c r="E13" s="31">
        <v>100000</v>
      </c>
    </row>
    <row r="14" spans="2:5" ht="21">
      <c r="B14" s="28" t="s">
        <v>548</v>
      </c>
      <c r="C14" s="413" t="s">
        <v>549</v>
      </c>
      <c r="D14" s="414"/>
      <c r="E14" s="31">
        <v>100000</v>
      </c>
    </row>
    <row r="15" spans="2:5" ht="21">
      <c r="B15" s="28" t="s">
        <v>550</v>
      </c>
      <c r="C15" s="413" t="s">
        <v>551</v>
      </c>
      <c r="D15" s="414"/>
      <c r="E15" s="31">
        <v>100000</v>
      </c>
    </row>
    <row r="16" spans="2:5" ht="21">
      <c r="B16" s="28"/>
      <c r="C16" s="413"/>
      <c r="D16" s="414"/>
      <c r="E16" s="32">
        <v>0</v>
      </c>
    </row>
    <row r="17" spans="2:5" ht="21">
      <c r="B17" s="416" t="s">
        <v>196</v>
      </c>
      <c r="C17" s="418"/>
      <c r="D17" s="417"/>
      <c r="E17" s="33">
        <f>SUM(E8:E16)</f>
        <v>680000</v>
      </c>
    </row>
    <row r="18" spans="2:5" ht="21">
      <c r="B18" s="415" t="s">
        <v>558</v>
      </c>
      <c r="C18" s="415"/>
      <c r="D18" s="415"/>
      <c r="E18" s="415"/>
    </row>
    <row r="19" spans="2:7" ht="21">
      <c r="B19" s="26" t="s">
        <v>534</v>
      </c>
      <c r="C19" s="416" t="s">
        <v>535</v>
      </c>
      <c r="D19" s="417"/>
      <c r="E19" s="26" t="s">
        <v>61</v>
      </c>
      <c r="G19" s="21"/>
    </row>
    <row r="20" spans="2:7" ht="21">
      <c r="B20" s="213" t="s">
        <v>552</v>
      </c>
      <c r="C20" s="419" t="s">
        <v>553</v>
      </c>
      <c r="D20" s="420"/>
      <c r="E20" s="214">
        <v>40000</v>
      </c>
      <c r="G20" s="21"/>
    </row>
    <row r="21" spans="2:7" ht="21">
      <c r="B21" s="216" t="s">
        <v>554</v>
      </c>
      <c r="C21" s="413" t="s">
        <v>547</v>
      </c>
      <c r="D21" s="414"/>
      <c r="E21" s="215">
        <v>40000</v>
      </c>
      <c r="G21" s="21"/>
    </row>
    <row r="22" spans="2:5" ht="21">
      <c r="B22" s="28" t="s">
        <v>536</v>
      </c>
      <c r="C22" s="413" t="s">
        <v>537</v>
      </c>
      <c r="D22" s="414"/>
      <c r="E22" s="31">
        <v>80000</v>
      </c>
    </row>
    <row r="23" spans="2:5" ht="21">
      <c r="B23" s="28" t="s">
        <v>538</v>
      </c>
      <c r="C23" s="413" t="s">
        <v>539</v>
      </c>
      <c r="D23" s="414"/>
      <c r="E23" s="31">
        <v>80000</v>
      </c>
    </row>
    <row r="24" spans="2:5" ht="21">
      <c r="B24" s="28" t="s">
        <v>540</v>
      </c>
      <c r="C24" s="413" t="s">
        <v>541</v>
      </c>
      <c r="D24" s="414"/>
      <c r="E24" s="31">
        <v>90000</v>
      </c>
    </row>
    <row r="25" spans="2:5" ht="21">
      <c r="B25" s="28" t="s">
        <v>542</v>
      </c>
      <c r="C25" s="413" t="s">
        <v>543</v>
      </c>
      <c r="D25" s="414"/>
      <c r="E25" s="31">
        <v>80000</v>
      </c>
    </row>
    <row r="26" spans="2:5" ht="21">
      <c r="B26" s="28" t="s">
        <v>555</v>
      </c>
      <c r="C26" s="413" t="s">
        <v>545</v>
      </c>
      <c r="D26" s="414"/>
      <c r="E26" s="31">
        <v>100000</v>
      </c>
    </row>
    <row r="27" spans="2:5" ht="21">
      <c r="B27" s="28" t="s">
        <v>548</v>
      </c>
      <c r="C27" s="413" t="s">
        <v>549</v>
      </c>
      <c r="D27" s="414"/>
      <c r="E27" s="31">
        <v>100000</v>
      </c>
    </row>
    <row r="28" spans="2:5" ht="21">
      <c r="B28" s="28" t="s">
        <v>550</v>
      </c>
      <c r="C28" s="413" t="s">
        <v>551</v>
      </c>
      <c r="D28" s="414"/>
      <c r="E28" s="31">
        <v>100000</v>
      </c>
    </row>
    <row r="29" spans="2:5" ht="21">
      <c r="B29" s="28"/>
      <c r="C29" s="413"/>
      <c r="D29" s="414"/>
      <c r="E29" s="32">
        <v>0</v>
      </c>
    </row>
    <row r="30" spans="2:5" ht="21">
      <c r="B30" s="416" t="s">
        <v>196</v>
      </c>
      <c r="C30" s="418"/>
      <c r="D30" s="417"/>
      <c r="E30" s="33">
        <f>SUM(E20:E29)</f>
        <v>710000</v>
      </c>
    </row>
  </sheetData>
  <sheetProtection/>
  <mergeCells count="27">
    <mergeCell ref="B1:E1"/>
    <mergeCell ref="B2:E2"/>
    <mergeCell ref="B3:E3"/>
    <mergeCell ref="C19:D19"/>
    <mergeCell ref="C22:D22"/>
    <mergeCell ref="C16:D16"/>
    <mergeCell ref="C8:D8"/>
    <mergeCell ref="C9:D9"/>
    <mergeCell ref="C10:D10"/>
    <mergeCell ref="C11:D11"/>
    <mergeCell ref="C7:D7"/>
    <mergeCell ref="C14:D14"/>
    <mergeCell ref="C15:D15"/>
    <mergeCell ref="B30:D30"/>
    <mergeCell ref="C20:D20"/>
    <mergeCell ref="C21:D21"/>
    <mergeCell ref="C29:D29"/>
    <mergeCell ref="C23:D23"/>
    <mergeCell ref="B17:D17"/>
    <mergeCell ref="C12:D12"/>
    <mergeCell ref="C13:D13"/>
    <mergeCell ref="C24:D24"/>
    <mergeCell ref="C25:D25"/>
    <mergeCell ref="C27:D27"/>
    <mergeCell ref="C28:D28"/>
    <mergeCell ref="C26:D26"/>
    <mergeCell ref="B18:E18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H7" sqref="H7"/>
    </sheetView>
  </sheetViews>
  <sheetFormatPr defaultColWidth="9.00390625" defaultRowHeight="15"/>
  <cols>
    <col min="1" max="1" width="9.00390625" style="7" customWidth="1"/>
    <col min="2" max="2" width="20.8515625" style="7" customWidth="1"/>
    <col min="3" max="3" width="13.140625" style="7" customWidth="1"/>
    <col min="4" max="4" width="16.421875" style="7" customWidth="1"/>
    <col min="5" max="5" width="14.421875" style="7" customWidth="1"/>
    <col min="6" max="16384" width="9.00390625" style="7" customWidth="1"/>
  </cols>
  <sheetData>
    <row r="1" spans="1:8" ht="21">
      <c r="A1" s="412" t="str">
        <f>+งบแสดงฐานะการเงิน!A1</f>
        <v>องค์การบริหารส่วนตำบลคอกควาย</v>
      </c>
      <c r="B1" s="412"/>
      <c r="C1" s="412"/>
      <c r="D1" s="412"/>
      <c r="E1" s="412"/>
      <c r="F1" s="24"/>
      <c r="G1" s="24"/>
      <c r="H1" s="24"/>
    </row>
    <row r="2" spans="1:8" ht="21">
      <c r="A2" s="412" t="s">
        <v>194</v>
      </c>
      <c r="B2" s="412"/>
      <c r="C2" s="412"/>
      <c r="D2" s="412"/>
      <c r="E2" s="412"/>
      <c r="F2" s="24"/>
      <c r="G2" s="24"/>
      <c r="H2" s="24"/>
    </row>
    <row r="3" spans="1:8" ht="21">
      <c r="A3" s="412" t="s">
        <v>644</v>
      </c>
      <c r="B3" s="412"/>
      <c r="C3" s="412"/>
      <c r="D3" s="412"/>
      <c r="E3" s="412"/>
      <c r="F3" s="24"/>
      <c r="G3" s="24"/>
      <c r="H3" s="24"/>
    </row>
    <row r="4" spans="2:5" ht="21">
      <c r="B4" s="24" t="s">
        <v>533</v>
      </c>
      <c r="C4" s="24"/>
      <c r="D4" s="24"/>
      <c r="E4" s="24"/>
    </row>
    <row r="5" spans="2:5" ht="21">
      <c r="B5" s="24" t="s">
        <v>557</v>
      </c>
      <c r="C5" s="24"/>
      <c r="D5" s="24"/>
      <c r="E5" s="24"/>
    </row>
    <row r="6" spans="2:5" ht="21">
      <c r="B6" s="225" t="s">
        <v>534</v>
      </c>
      <c r="C6" s="223" t="s">
        <v>197</v>
      </c>
      <c r="D6" s="279" t="s">
        <v>62</v>
      </c>
      <c r="E6" s="223" t="s">
        <v>61</v>
      </c>
    </row>
    <row r="7" spans="2:5" ht="21">
      <c r="B7" s="220" t="s">
        <v>564</v>
      </c>
      <c r="C7" s="27" t="s">
        <v>565</v>
      </c>
      <c r="D7" s="281" t="s">
        <v>566</v>
      </c>
      <c r="E7" s="30">
        <v>2408</v>
      </c>
    </row>
    <row r="8" spans="2:5" ht="21">
      <c r="B8" s="220"/>
      <c r="C8" s="28"/>
      <c r="D8" s="280"/>
      <c r="E8" s="31"/>
    </row>
    <row r="9" spans="2:5" ht="21">
      <c r="B9" s="220"/>
      <c r="C9" s="28"/>
      <c r="D9" s="280"/>
      <c r="E9" s="31"/>
    </row>
    <row r="10" spans="2:5" ht="21">
      <c r="B10" s="29"/>
      <c r="C10" s="28"/>
      <c r="D10" s="280"/>
      <c r="E10" s="32"/>
    </row>
    <row r="11" spans="2:5" ht="21">
      <c r="B11" s="416" t="s">
        <v>567</v>
      </c>
      <c r="C11" s="418"/>
      <c r="D11" s="418"/>
      <c r="E11" s="33">
        <v>2408</v>
      </c>
    </row>
    <row r="12" spans="2:5" ht="21">
      <c r="B12" s="423"/>
      <c r="C12" s="423"/>
      <c r="D12" s="423"/>
      <c r="E12" s="423"/>
    </row>
    <row r="13" spans="2:5" ht="21">
      <c r="B13" s="24" t="s">
        <v>558</v>
      </c>
      <c r="C13" s="24"/>
      <c r="D13" s="24"/>
      <c r="E13" s="24"/>
    </row>
    <row r="14" spans="2:7" ht="21">
      <c r="B14" s="225" t="s">
        <v>534</v>
      </c>
      <c r="C14" s="289" t="s">
        <v>197</v>
      </c>
      <c r="D14" s="286" t="s">
        <v>62</v>
      </c>
      <c r="E14" s="289" t="s">
        <v>61</v>
      </c>
      <c r="G14" s="21"/>
    </row>
    <row r="15" spans="2:7" ht="21">
      <c r="B15" s="220"/>
      <c r="C15" s="27"/>
      <c r="D15" s="287"/>
      <c r="E15" s="214" t="s">
        <v>645</v>
      </c>
      <c r="G15" s="21"/>
    </row>
    <row r="16" spans="2:7" ht="21">
      <c r="B16" s="220"/>
      <c r="C16" s="28"/>
      <c r="D16" s="285"/>
      <c r="E16" s="31"/>
      <c r="G16" s="21"/>
    </row>
    <row r="17" spans="2:5" ht="21">
      <c r="B17" s="220"/>
      <c r="C17" s="28"/>
      <c r="D17" s="285"/>
      <c r="E17" s="31"/>
    </row>
    <row r="18" spans="2:5" ht="21">
      <c r="B18" s="29"/>
      <c r="C18" s="28"/>
      <c r="D18" s="285"/>
      <c r="E18" s="32"/>
    </row>
    <row r="19" spans="2:5" ht="21">
      <c r="B19" s="416" t="s">
        <v>567</v>
      </c>
      <c r="C19" s="418"/>
      <c r="D19" s="418"/>
      <c r="E19" s="315" t="s">
        <v>645</v>
      </c>
    </row>
  </sheetData>
  <sheetProtection/>
  <mergeCells count="6">
    <mergeCell ref="B19:D19"/>
    <mergeCell ref="A1:E1"/>
    <mergeCell ref="A2:E2"/>
    <mergeCell ref="A3:E3"/>
    <mergeCell ref="B11:D11"/>
    <mergeCell ref="B12:E1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O21"/>
  <sheetViews>
    <sheetView zoomScalePageLayoutView="0" workbookViewId="0" topLeftCell="A4">
      <selection activeCell="K4" sqref="K4"/>
    </sheetView>
  </sheetViews>
  <sheetFormatPr defaultColWidth="9.00390625" defaultRowHeight="15"/>
  <cols>
    <col min="1" max="1" width="9.00390625" style="7" customWidth="1"/>
    <col min="2" max="2" width="6.8515625" style="193" customWidth="1"/>
    <col min="3" max="3" width="20.7109375" style="7" customWidth="1"/>
    <col min="4" max="4" width="4.8515625" style="7" customWidth="1"/>
    <col min="5" max="5" width="3.421875" style="193" customWidth="1"/>
    <col min="6" max="6" width="13.57421875" style="7" customWidth="1"/>
    <col min="7" max="7" width="4.140625" style="7" customWidth="1"/>
    <col min="8" max="8" width="3.421875" style="7" customWidth="1"/>
    <col min="9" max="9" width="13.57421875" style="7" customWidth="1"/>
    <col min="10" max="16384" width="9.00390625" style="7" customWidth="1"/>
  </cols>
  <sheetData>
    <row r="1" spans="2:11" ht="21">
      <c r="B1" s="412" t="str">
        <f>+งบแสดงฐานะการเงิน!A1</f>
        <v>องค์การบริหารส่วนตำบลคอกควาย</v>
      </c>
      <c r="C1" s="412"/>
      <c r="D1" s="412"/>
      <c r="E1" s="412"/>
      <c r="F1" s="412"/>
      <c r="G1" s="412"/>
      <c r="H1" s="412"/>
      <c r="I1" s="412"/>
      <c r="J1" s="24"/>
      <c r="K1" s="24"/>
    </row>
    <row r="2" spans="2:11" ht="21">
      <c r="B2" s="412" t="s">
        <v>194</v>
      </c>
      <c r="C2" s="412"/>
      <c r="D2" s="412"/>
      <c r="E2" s="412"/>
      <c r="F2" s="412"/>
      <c r="G2" s="412"/>
      <c r="H2" s="412"/>
      <c r="I2" s="412"/>
      <c r="J2" s="24"/>
      <c r="K2" s="24"/>
    </row>
    <row r="3" spans="2:11" ht="21">
      <c r="B3" s="412" t="s">
        <v>643</v>
      </c>
      <c r="C3" s="412"/>
      <c r="D3" s="412"/>
      <c r="E3" s="412"/>
      <c r="F3" s="412"/>
      <c r="G3" s="412"/>
      <c r="H3" s="412"/>
      <c r="I3" s="412"/>
      <c r="J3" s="24"/>
      <c r="K3" s="24"/>
    </row>
    <row r="4" spans="2:9" ht="21">
      <c r="B4" s="23"/>
      <c r="D4" s="226"/>
      <c r="F4" s="271"/>
      <c r="I4" s="226"/>
    </row>
    <row r="5" spans="2:9" ht="21">
      <c r="B5" s="23" t="s">
        <v>568</v>
      </c>
      <c r="C5" s="188"/>
      <c r="D5" s="188"/>
      <c r="E5" s="186"/>
      <c r="F5" s="20">
        <v>2561</v>
      </c>
      <c r="G5" s="188"/>
      <c r="H5" s="188"/>
      <c r="I5" s="288">
        <v>2560</v>
      </c>
    </row>
    <row r="6" spans="3:9" ht="21">
      <c r="C6" s="187"/>
      <c r="D6" s="189"/>
      <c r="F6" s="192"/>
      <c r="G6" s="188"/>
      <c r="H6" s="188"/>
      <c r="I6" s="189"/>
    </row>
    <row r="7" spans="3:9" ht="21">
      <c r="C7" s="7" t="s">
        <v>569</v>
      </c>
      <c r="D7" s="21"/>
      <c r="E7" s="7"/>
      <c r="F7" s="316" t="s">
        <v>645</v>
      </c>
      <c r="G7" s="188"/>
      <c r="H7" s="188"/>
      <c r="I7" s="21">
        <v>34200</v>
      </c>
    </row>
    <row r="8" spans="3:9" ht="21">
      <c r="C8" s="7" t="s">
        <v>570</v>
      </c>
      <c r="D8" s="21"/>
      <c r="E8" s="7"/>
      <c r="F8" s="316" t="s">
        <v>645</v>
      </c>
      <c r="G8" s="188"/>
      <c r="H8" s="188"/>
      <c r="I8" s="21">
        <v>1710</v>
      </c>
    </row>
    <row r="9" spans="3:9" ht="21">
      <c r="C9" s="188"/>
      <c r="D9" s="212"/>
      <c r="F9" s="288"/>
      <c r="G9" s="188"/>
      <c r="H9" s="191"/>
      <c r="I9" s="188"/>
    </row>
    <row r="10" spans="2:9" ht="21" thickBot="1">
      <c r="B10" s="186"/>
      <c r="C10" s="288" t="s">
        <v>196</v>
      </c>
      <c r="D10" s="188"/>
      <c r="E10" s="186"/>
      <c r="F10" s="317" t="s">
        <v>645</v>
      </c>
      <c r="G10" s="188"/>
      <c r="H10" s="188"/>
      <c r="I10" s="227">
        <f>SUM(I7:I9)</f>
        <v>35910</v>
      </c>
    </row>
    <row r="11" spans="3:9" ht="21" thickTop="1">
      <c r="C11" s="187"/>
      <c r="D11" s="189"/>
      <c r="F11" s="187"/>
      <c r="G11" s="188"/>
      <c r="H11" s="188"/>
      <c r="I11" s="189"/>
    </row>
    <row r="12" spans="3:9" ht="21">
      <c r="C12" s="187"/>
      <c r="D12" s="189"/>
      <c r="F12" s="187"/>
      <c r="G12" s="188"/>
      <c r="H12" s="188"/>
      <c r="I12" s="189"/>
    </row>
    <row r="13" spans="3:9" ht="21">
      <c r="C13" s="188"/>
      <c r="D13" s="189"/>
      <c r="F13" s="188"/>
      <c r="G13" s="188"/>
      <c r="H13" s="188"/>
      <c r="I13" s="189"/>
    </row>
    <row r="14" spans="3:9" ht="21">
      <c r="C14" s="188"/>
      <c r="D14" s="212"/>
      <c r="F14" s="188"/>
      <c r="G14" s="188"/>
      <c r="H14" s="191"/>
      <c r="I14" s="212"/>
    </row>
    <row r="15" spans="3:9" ht="21">
      <c r="C15" s="188"/>
      <c r="D15" s="212"/>
      <c r="F15" s="188"/>
      <c r="G15" s="188"/>
      <c r="H15" s="188"/>
      <c r="I15" s="188"/>
    </row>
    <row r="16" spans="3:9" ht="21">
      <c r="C16" s="188"/>
      <c r="D16" s="188"/>
      <c r="E16" s="186"/>
      <c r="F16" s="188"/>
      <c r="G16" s="188"/>
      <c r="H16" s="188"/>
      <c r="I16" s="188"/>
    </row>
    <row r="17" spans="2:15" ht="21">
      <c r="B17" s="186"/>
      <c r="C17" s="188"/>
      <c r="D17" s="188"/>
      <c r="F17" s="188"/>
      <c r="G17" s="188"/>
      <c r="H17" s="188"/>
      <c r="I17" s="189"/>
      <c r="O17" s="114"/>
    </row>
    <row r="18" spans="3:9" ht="21">
      <c r="C18" s="187"/>
      <c r="D18" s="189"/>
      <c r="F18" s="188"/>
      <c r="G18" s="188"/>
      <c r="H18" s="188"/>
      <c r="I18" s="189"/>
    </row>
    <row r="19" spans="3:9" ht="21">
      <c r="C19" s="187"/>
      <c r="D19" s="189"/>
      <c r="F19" s="188"/>
      <c r="G19" s="188"/>
      <c r="H19" s="188"/>
      <c r="I19" s="189"/>
    </row>
    <row r="20" spans="3:9" ht="21">
      <c r="C20" s="188"/>
      <c r="D20" s="189"/>
      <c r="F20" s="188"/>
      <c r="G20" s="188"/>
      <c r="H20" s="191"/>
      <c r="I20" s="212"/>
    </row>
    <row r="21" spans="3:9" ht="21">
      <c r="C21" s="188"/>
      <c r="D21" s="212"/>
      <c r="F21" s="188"/>
      <c r="G21" s="188"/>
      <c r="H21" s="188"/>
      <c r="I21" s="188"/>
    </row>
  </sheetData>
  <sheetProtection/>
  <mergeCells count="3">
    <mergeCell ref="B1:I1"/>
    <mergeCell ref="B2:I2"/>
    <mergeCell ref="B3:I3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8"/>
  <sheetViews>
    <sheetView zoomScalePageLayoutView="0" workbookViewId="0" topLeftCell="A1">
      <selection activeCell="J6" sqref="J6"/>
    </sheetView>
  </sheetViews>
  <sheetFormatPr defaultColWidth="9.00390625" defaultRowHeight="15"/>
  <cols>
    <col min="1" max="1" width="9.00390625" style="7" customWidth="1"/>
    <col min="2" max="2" width="11.7109375" style="7" bestFit="1" customWidth="1"/>
    <col min="3" max="5" width="9.00390625" style="7" customWidth="1"/>
    <col min="6" max="6" width="10.8515625" style="7" bestFit="1" customWidth="1"/>
    <col min="7" max="7" width="4.421875" style="7" customWidth="1"/>
    <col min="8" max="8" width="10.8515625" style="7" bestFit="1" customWidth="1"/>
    <col min="9" max="16384" width="9.00390625" style="7" customWidth="1"/>
  </cols>
  <sheetData>
    <row r="1" spans="1:9" ht="21">
      <c r="A1" s="412" t="str">
        <f>+งบแสดงฐานะการเงิน!A1</f>
        <v>องค์การบริหารส่วนตำบลคอกควาย</v>
      </c>
      <c r="B1" s="412"/>
      <c r="C1" s="412"/>
      <c r="D1" s="412"/>
      <c r="E1" s="412"/>
      <c r="F1" s="412"/>
      <c r="G1" s="412"/>
      <c r="H1" s="412"/>
      <c r="I1" s="412"/>
    </row>
    <row r="2" spans="1:9" ht="21">
      <c r="A2" s="412" t="s">
        <v>194</v>
      </c>
      <c r="B2" s="412"/>
      <c r="C2" s="412"/>
      <c r="D2" s="412"/>
      <c r="E2" s="412"/>
      <c r="F2" s="412"/>
      <c r="G2" s="412"/>
      <c r="H2" s="412"/>
      <c r="I2" s="412"/>
    </row>
    <row r="3" spans="1:9" ht="21">
      <c r="A3" s="412" t="str">
        <f>+'หมายเหตุ 3'!A3:F3</f>
        <v>สำหรับปี สิ้นสุดวันที่      30      กันยายน  2561</v>
      </c>
      <c r="B3" s="412"/>
      <c r="C3" s="412"/>
      <c r="D3" s="412"/>
      <c r="E3" s="412"/>
      <c r="F3" s="412"/>
      <c r="G3" s="412"/>
      <c r="H3" s="412"/>
      <c r="I3" s="412"/>
    </row>
    <row r="4" spans="6:8" ht="21">
      <c r="F4" s="270"/>
      <c r="G4" s="20"/>
      <c r="H4" s="272"/>
    </row>
    <row r="5" spans="1:8" ht="21">
      <c r="A5" s="23" t="s">
        <v>591</v>
      </c>
      <c r="F5" s="271">
        <v>2561</v>
      </c>
      <c r="H5" s="318">
        <v>2560</v>
      </c>
    </row>
    <row r="6" spans="2:8" ht="21">
      <c r="B6" s="7" t="s">
        <v>572</v>
      </c>
      <c r="F6" s="21">
        <v>80312</v>
      </c>
      <c r="G6" s="21"/>
      <c r="H6" s="21">
        <v>80312</v>
      </c>
    </row>
    <row r="7" spans="6:8" ht="21">
      <c r="F7" s="21"/>
      <c r="G7" s="21"/>
      <c r="H7" s="21"/>
    </row>
    <row r="8" spans="4:8" ht="21" thickBot="1">
      <c r="D8" s="20" t="s">
        <v>196</v>
      </c>
      <c r="F8" s="22">
        <f>SUM(F6:F7)</f>
        <v>80312</v>
      </c>
      <c r="G8" s="129"/>
      <c r="H8" s="22">
        <f>SUM(H6:H7)</f>
        <v>80312</v>
      </c>
    </row>
    <row r="9" ht="21" thickTop="1"/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H143"/>
  <sheetViews>
    <sheetView tabSelected="1" view="pageBreakPreview" zoomScaleSheetLayoutView="100" zoomScalePageLayoutView="0" workbookViewId="0" topLeftCell="A64">
      <selection activeCell="G139" sqref="G139"/>
    </sheetView>
  </sheetViews>
  <sheetFormatPr defaultColWidth="9.00390625" defaultRowHeight="15"/>
  <cols>
    <col min="1" max="1" width="9.00390625" style="7" customWidth="1"/>
    <col min="2" max="2" width="10.7109375" style="7" customWidth="1"/>
    <col min="3" max="3" width="16.8515625" style="7" customWidth="1"/>
    <col min="4" max="4" width="16.421875" style="7" customWidth="1"/>
    <col min="5" max="5" width="13.421875" style="7" customWidth="1"/>
    <col min="6" max="6" width="18.7109375" style="7" customWidth="1"/>
    <col min="7" max="7" width="34.140625" style="7" customWidth="1"/>
    <col min="8" max="8" width="12.421875" style="7" customWidth="1"/>
    <col min="9" max="16384" width="9.00390625" style="7" customWidth="1"/>
  </cols>
  <sheetData>
    <row r="1" spans="2:8" ht="20.25" customHeight="1">
      <c r="B1" s="424" t="str">
        <f>+งบแสดงฐานะการเงิน!A1</f>
        <v>องค์การบริหารส่วนตำบลคอกควาย</v>
      </c>
      <c r="C1" s="424"/>
      <c r="D1" s="424"/>
      <c r="E1" s="424"/>
      <c r="F1" s="424"/>
      <c r="G1" s="424"/>
      <c r="H1" s="424"/>
    </row>
    <row r="2" spans="2:8" ht="20.25" customHeight="1">
      <c r="B2" s="424" t="s">
        <v>194</v>
      </c>
      <c r="C2" s="424"/>
      <c r="D2" s="424"/>
      <c r="E2" s="424"/>
      <c r="F2" s="424"/>
      <c r="G2" s="424"/>
      <c r="H2" s="424"/>
    </row>
    <row r="3" spans="2:8" ht="20.25" customHeight="1">
      <c r="B3" s="424" t="s">
        <v>688</v>
      </c>
      <c r="C3" s="424"/>
      <c r="D3" s="424"/>
      <c r="E3" s="424"/>
      <c r="F3" s="424"/>
      <c r="G3" s="424"/>
      <c r="H3" s="424"/>
    </row>
    <row r="4" ht="20.25" customHeight="1">
      <c r="B4" s="23" t="s">
        <v>581</v>
      </c>
    </row>
    <row r="5" ht="20.25" customHeight="1">
      <c r="B5" s="276" t="s">
        <v>557</v>
      </c>
    </row>
    <row r="6" spans="2:8" ht="20.25" customHeight="1">
      <c r="B6" s="290" t="s">
        <v>197</v>
      </c>
      <c r="C6" s="290" t="s">
        <v>198</v>
      </c>
      <c r="D6" s="290" t="s">
        <v>199</v>
      </c>
      <c r="E6" s="290" t="s">
        <v>200</v>
      </c>
      <c r="F6" s="290" t="s">
        <v>201</v>
      </c>
      <c r="G6" s="290" t="s">
        <v>202</v>
      </c>
      <c r="H6" s="290" t="s">
        <v>61</v>
      </c>
    </row>
    <row r="7" spans="2:8" ht="21">
      <c r="B7" s="130" t="s">
        <v>411</v>
      </c>
      <c r="C7" s="130" t="s">
        <v>430</v>
      </c>
      <c r="D7" s="131" t="s">
        <v>413</v>
      </c>
      <c r="E7" s="131" t="s">
        <v>428</v>
      </c>
      <c r="F7" s="130" t="s">
        <v>429</v>
      </c>
      <c r="G7" s="28" t="s">
        <v>453</v>
      </c>
      <c r="H7" s="31">
        <v>2120000</v>
      </c>
    </row>
    <row r="8" spans="2:8" ht="21">
      <c r="B8" s="130"/>
      <c r="C8" s="130"/>
      <c r="D8" s="131"/>
      <c r="E8" s="49"/>
      <c r="F8" s="130"/>
      <c r="G8" s="28" t="s">
        <v>454</v>
      </c>
      <c r="H8" s="31"/>
    </row>
    <row r="9" spans="2:8" ht="21">
      <c r="B9" s="130"/>
      <c r="C9" s="130"/>
      <c r="D9" s="131"/>
      <c r="E9" s="49"/>
      <c r="F9" s="130"/>
      <c r="G9" s="28"/>
      <c r="H9" s="31"/>
    </row>
    <row r="10" spans="2:8" ht="21">
      <c r="B10" s="130" t="s">
        <v>411</v>
      </c>
      <c r="C10" s="130" t="s">
        <v>430</v>
      </c>
      <c r="D10" s="131" t="s">
        <v>413</v>
      </c>
      <c r="E10" s="131" t="s">
        <v>428</v>
      </c>
      <c r="F10" s="130" t="s">
        <v>429</v>
      </c>
      <c r="G10" s="28" t="s">
        <v>455</v>
      </c>
      <c r="H10" s="31">
        <v>70000</v>
      </c>
    </row>
    <row r="11" spans="2:8" ht="21">
      <c r="B11" s="130"/>
      <c r="C11" s="179"/>
      <c r="D11" s="178"/>
      <c r="E11" s="49"/>
      <c r="F11" s="130"/>
      <c r="G11" s="28"/>
      <c r="H11" s="31"/>
    </row>
    <row r="12" spans="2:8" ht="21">
      <c r="B12" s="130" t="s">
        <v>411</v>
      </c>
      <c r="C12" s="28" t="s">
        <v>456</v>
      </c>
      <c r="D12" s="178" t="s">
        <v>456</v>
      </c>
      <c r="E12" s="28" t="s">
        <v>150</v>
      </c>
      <c r="F12" s="130" t="s">
        <v>415</v>
      </c>
      <c r="G12" s="28" t="s">
        <v>440</v>
      </c>
      <c r="H12" s="31">
        <v>18000</v>
      </c>
    </row>
    <row r="13" spans="2:8" ht="21">
      <c r="B13" s="28"/>
      <c r="C13" s="28"/>
      <c r="D13" s="28"/>
      <c r="E13" s="28"/>
      <c r="F13" s="130"/>
      <c r="G13" s="28" t="s">
        <v>441</v>
      </c>
      <c r="H13" s="31"/>
    </row>
    <row r="14" spans="2:8" ht="21">
      <c r="B14" s="28"/>
      <c r="C14" s="28"/>
      <c r="D14" s="28"/>
      <c r="E14" s="49"/>
      <c r="F14" s="130"/>
      <c r="G14" s="131"/>
      <c r="H14" s="31"/>
    </row>
    <row r="15" spans="2:8" ht="21">
      <c r="B15" s="28"/>
      <c r="C15" s="28"/>
      <c r="D15" s="28"/>
      <c r="E15" s="49"/>
      <c r="F15" s="130"/>
      <c r="G15" s="131"/>
      <c r="H15" s="31"/>
    </row>
    <row r="16" spans="2:8" ht="21">
      <c r="B16" s="28"/>
      <c r="C16" s="28"/>
      <c r="D16" s="28"/>
      <c r="E16" s="49"/>
      <c r="F16" s="130"/>
      <c r="G16" s="131"/>
      <c r="H16" s="31"/>
    </row>
    <row r="17" spans="2:8" ht="21">
      <c r="B17" s="28"/>
      <c r="C17" s="28"/>
      <c r="D17" s="28"/>
      <c r="E17" s="49"/>
      <c r="F17" s="130"/>
      <c r="G17" s="131"/>
      <c r="H17" s="31"/>
    </row>
    <row r="18" spans="2:8" ht="21">
      <c r="B18" s="28"/>
      <c r="C18" s="28"/>
      <c r="D18" s="28"/>
      <c r="E18" s="49"/>
      <c r="F18" s="130"/>
      <c r="G18" s="131"/>
      <c r="H18" s="31"/>
    </row>
    <row r="19" spans="2:8" ht="21" thickBot="1">
      <c r="B19" s="416" t="s">
        <v>196</v>
      </c>
      <c r="C19" s="418"/>
      <c r="D19" s="418"/>
      <c r="E19" s="418"/>
      <c r="F19" s="418"/>
      <c r="G19" s="417"/>
      <c r="H19" s="34">
        <f>SUM(H7:H18)</f>
        <v>2208000</v>
      </c>
    </row>
    <row r="20" spans="2:8" ht="21" thickTop="1">
      <c r="B20" s="86"/>
      <c r="C20" s="86"/>
      <c r="D20" s="86"/>
      <c r="E20" s="86"/>
      <c r="F20" s="86"/>
      <c r="G20" s="86"/>
      <c r="H20" s="129"/>
    </row>
    <row r="21" spans="2:8" ht="21">
      <c r="B21" s="86"/>
      <c r="C21" s="86"/>
      <c r="D21" s="86"/>
      <c r="E21" s="86"/>
      <c r="F21" s="86"/>
      <c r="G21" s="86"/>
      <c r="H21" s="129"/>
    </row>
    <row r="22" spans="2:8" ht="21">
      <c r="B22" s="424" t="s">
        <v>376</v>
      </c>
      <c r="C22" s="424"/>
      <c r="D22" s="424"/>
      <c r="E22" s="424"/>
      <c r="F22" s="424"/>
      <c r="G22" s="424"/>
      <c r="H22" s="424"/>
    </row>
    <row r="23" spans="2:8" ht="21">
      <c r="B23" s="424" t="s">
        <v>194</v>
      </c>
      <c r="C23" s="424"/>
      <c r="D23" s="424"/>
      <c r="E23" s="424"/>
      <c r="F23" s="424"/>
      <c r="G23" s="424"/>
      <c r="H23" s="424"/>
    </row>
    <row r="24" spans="2:8" ht="17.25" customHeight="1">
      <c r="B24" s="424" t="s">
        <v>644</v>
      </c>
      <c r="C24" s="424"/>
      <c r="D24" s="424"/>
      <c r="E24" s="424"/>
      <c r="F24" s="424"/>
      <c r="G24" s="424"/>
      <c r="H24" s="424"/>
    </row>
    <row r="25" ht="21" customHeight="1">
      <c r="B25" s="23" t="s">
        <v>574</v>
      </c>
    </row>
    <row r="26" ht="21" customHeight="1">
      <c r="B26" s="23" t="s">
        <v>558</v>
      </c>
    </row>
    <row r="27" spans="2:8" ht="18" customHeight="1">
      <c r="B27" s="290" t="s">
        <v>197</v>
      </c>
      <c r="C27" s="290" t="s">
        <v>198</v>
      </c>
      <c r="D27" s="290" t="s">
        <v>199</v>
      </c>
      <c r="E27" s="290" t="s">
        <v>200</v>
      </c>
      <c r="F27" s="290" t="s">
        <v>201</v>
      </c>
      <c r="G27" s="290" t="s">
        <v>202</v>
      </c>
      <c r="H27" s="290" t="s">
        <v>61</v>
      </c>
    </row>
    <row r="28" spans="2:8" ht="21" customHeight="1">
      <c r="B28" s="130" t="s">
        <v>411</v>
      </c>
      <c r="C28" s="28" t="s">
        <v>426</v>
      </c>
      <c r="D28" s="28" t="s">
        <v>426</v>
      </c>
      <c r="E28" s="28" t="s">
        <v>221</v>
      </c>
      <c r="F28" s="28" t="s">
        <v>32</v>
      </c>
      <c r="G28" s="28" t="s">
        <v>472</v>
      </c>
      <c r="H28" s="31">
        <v>12000</v>
      </c>
    </row>
    <row r="29" spans="2:8" ht="21.75" customHeight="1">
      <c r="B29" s="130" t="s">
        <v>411</v>
      </c>
      <c r="C29" s="131" t="s">
        <v>473</v>
      </c>
      <c r="D29" s="395" t="s">
        <v>474</v>
      </c>
      <c r="E29" s="28" t="s">
        <v>221</v>
      </c>
      <c r="F29" s="28" t="s">
        <v>37</v>
      </c>
      <c r="G29" s="28" t="s">
        <v>475</v>
      </c>
      <c r="H29" s="31">
        <v>30000</v>
      </c>
    </row>
    <row r="30" spans="2:8" ht="21" customHeight="1">
      <c r="B30" s="130" t="s">
        <v>411</v>
      </c>
      <c r="C30" s="131" t="s">
        <v>473</v>
      </c>
      <c r="D30" s="395" t="s">
        <v>474</v>
      </c>
      <c r="E30" s="28" t="s">
        <v>221</v>
      </c>
      <c r="F30" s="28" t="s">
        <v>476</v>
      </c>
      <c r="G30" s="28" t="s">
        <v>477</v>
      </c>
      <c r="H30" s="31">
        <v>20000</v>
      </c>
    </row>
    <row r="31" spans="2:8" ht="19.5" customHeight="1">
      <c r="B31" s="130" t="s">
        <v>411</v>
      </c>
      <c r="C31" s="28" t="s">
        <v>241</v>
      </c>
      <c r="D31" s="395" t="s">
        <v>427</v>
      </c>
      <c r="E31" s="28" t="s">
        <v>221</v>
      </c>
      <c r="F31" s="28" t="s">
        <v>32</v>
      </c>
      <c r="G31" s="28" t="s">
        <v>478</v>
      </c>
      <c r="H31" s="31">
        <v>410000</v>
      </c>
    </row>
    <row r="32" spans="2:8" ht="20.25" customHeight="1">
      <c r="B32" s="130" t="s">
        <v>411</v>
      </c>
      <c r="C32" s="28" t="s">
        <v>479</v>
      </c>
      <c r="D32" s="395" t="s">
        <v>480</v>
      </c>
      <c r="E32" s="28" t="s">
        <v>221</v>
      </c>
      <c r="F32" s="131" t="s">
        <v>481</v>
      </c>
      <c r="G32" s="28" t="s">
        <v>482</v>
      </c>
      <c r="H32" s="31">
        <v>20000</v>
      </c>
    </row>
    <row r="33" spans="2:8" ht="21.75" customHeight="1">
      <c r="B33" s="130" t="s">
        <v>411</v>
      </c>
      <c r="C33" s="28" t="s">
        <v>483</v>
      </c>
      <c r="D33" s="395" t="s">
        <v>484</v>
      </c>
      <c r="E33" s="28" t="s">
        <v>221</v>
      </c>
      <c r="F33" s="28" t="s">
        <v>485</v>
      </c>
      <c r="G33" s="28" t="s">
        <v>486</v>
      </c>
      <c r="H33" s="31">
        <v>5000</v>
      </c>
    </row>
    <row r="34" spans="2:8" ht="19.5" customHeight="1">
      <c r="B34" s="130" t="s">
        <v>411</v>
      </c>
      <c r="C34" s="28" t="s">
        <v>483</v>
      </c>
      <c r="D34" s="395" t="s">
        <v>484</v>
      </c>
      <c r="E34" s="28" t="s">
        <v>221</v>
      </c>
      <c r="F34" s="130" t="s">
        <v>487</v>
      </c>
      <c r="G34" s="28" t="s">
        <v>488</v>
      </c>
      <c r="H34" s="31">
        <v>5000</v>
      </c>
    </row>
    <row r="35" spans="2:8" ht="21" customHeight="1">
      <c r="B35" s="130" t="s">
        <v>411</v>
      </c>
      <c r="C35" s="28" t="s">
        <v>483</v>
      </c>
      <c r="D35" s="395" t="s">
        <v>484</v>
      </c>
      <c r="E35" s="131" t="s">
        <v>163</v>
      </c>
      <c r="F35" s="130" t="s">
        <v>414</v>
      </c>
      <c r="G35" s="28" t="s">
        <v>489</v>
      </c>
      <c r="H35" s="31">
        <v>40000</v>
      </c>
    </row>
    <row r="36" spans="2:8" ht="19.5" customHeight="1">
      <c r="B36" s="130" t="s">
        <v>411</v>
      </c>
      <c r="C36" s="336" t="s">
        <v>490</v>
      </c>
      <c r="D36" s="131" t="s">
        <v>491</v>
      </c>
      <c r="E36" s="28" t="s">
        <v>221</v>
      </c>
      <c r="F36" s="130" t="s">
        <v>43</v>
      </c>
      <c r="G36" s="179" t="s">
        <v>492</v>
      </c>
      <c r="H36" s="31">
        <v>100000</v>
      </c>
    </row>
    <row r="37" spans="2:8" ht="21" customHeight="1">
      <c r="B37" s="130" t="s">
        <v>411</v>
      </c>
      <c r="C37" s="336" t="s">
        <v>490</v>
      </c>
      <c r="D37" s="336" t="s">
        <v>493</v>
      </c>
      <c r="E37" s="131" t="s">
        <v>163</v>
      </c>
      <c r="F37" s="130" t="s">
        <v>414</v>
      </c>
      <c r="G37" s="28" t="s">
        <v>494</v>
      </c>
      <c r="H37" s="31">
        <v>20000</v>
      </c>
    </row>
    <row r="38" spans="2:8" ht="21">
      <c r="B38" s="253" t="s">
        <v>411</v>
      </c>
      <c r="C38" s="41" t="s">
        <v>241</v>
      </c>
      <c r="D38" s="337" t="s">
        <v>427</v>
      </c>
      <c r="E38" s="41" t="s">
        <v>146</v>
      </c>
      <c r="F38" s="253" t="s">
        <v>380</v>
      </c>
      <c r="G38" s="253" t="s">
        <v>495</v>
      </c>
      <c r="H38" s="31">
        <v>197534</v>
      </c>
    </row>
    <row r="39" spans="2:8" ht="15.75" customHeight="1">
      <c r="B39" s="253" t="s">
        <v>411</v>
      </c>
      <c r="C39" s="41"/>
      <c r="D39" s="41"/>
      <c r="E39" s="41"/>
      <c r="F39" s="253"/>
      <c r="G39" s="253" t="s">
        <v>496</v>
      </c>
      <c r="H39" s="31"/>
    </row>
    <row r="40" spans="2:8" ht="21">
      <c r="B40" s="130" t="s">
        <v>411</v>
      </c>
      <c r="C40" s="130" t="s">
        <v>430</v>
      </c>
      <c r="D40" s="131" t="s">
        <v>413</v>
      </c>
      <c r="E40" s="131" t="s">
        <v>163</v>
      </c>
      <c r="F40" s="130" t="s">
        <v>414</v>
      </c>
      <c r="G40" s="131" t="s">
        <v>497</v>
      </c>
      <c r="H40" s="31">
        <v>120000</v>
      </c>
    </row>
    <row r="41" spans="2:8" ht="21">
      <c r="B41" s="130" t="s">
        <v>411</v>
      </c>
      <c r="C41" s="130" t="s">
        <v>430</v>
      </c>
      <c r="D41" s="131" t="s">
        <v>413</v>
      </c>
      <c r="E41" s="131" t="s">
        <v>163</v>
      </c>
      <c r="F41" s="130" t="s">
        <v>414</v>
      </c>
      <c r="G41" s="131" t="s">
        <v>498</v>
      </c>
      <c r="H41" s="31">
        <v>120000</v>
      </c>
    </row>
    <row r="42" spans="2:8" ht="21">
      <c r="B42" s="130" t="s">
        <v>411</v>
      </c>
      <c r="C42" s="130" t="s">
        <v>430</v>
      </c>
      <c r="D42" s="131" t="s">
        <v>413</v>
      </c>
      <c r="E42" s="131" t="s">
        <v>163</v>
      </c>
      <c r="F42" s="130" t="s">
        <v>414</v>
      </c>
      <c r="G42" s="131" t="s">
        <v>499</v>
      </c>
      <c r="H42" s="31">
        <v>120000</v>
      </c>
    </row>
    <row r="43" spans="2:8" ht="21" thickBot="1">
      <c r="B43" s="416" t="s">
        <v>196</v>
      </c>
      <c r="C43" s="418"/>
      <c r="D43" s="418"/>
      <c r="E43" s="418"/>
      <c r="F43" s="418"/>
      <c r="G43" s="417"/>
      <c r="H43" s="34"/>
    </row>
    <row r="44" spans="2:8" ht="21" thickTop="1">
      <c r="B44" s="424" t="s">
        <v>376</v>
      </c>
      <c r="C44" s="424"/>
      <c r="D44" s="424"/>
      <c r="E44" s="424"/>
      <c r="F44" s="424"/>
      <c r="G44" s="424"/>
      <c r="H44" s="424"/>
    </row>
    <row r="45" spans="2:8" ht="21">
      <c r="B45" s="424" t="s">
        <v>194</v>
      </c>
      <c r="C45" s="424"/>
      <c r="D45" s="424"/>
      <c r="E45" s="424"/>
      <c r="F45" s="424"/>
      <c r="G45" s="424"/>
      <c r="H45" s="424"/>
    </row>
    <row r="46" spans="2:8" ht="21">
      <c r="B46" s="424" t="s">
        <v>644</v>
      </c>
      <c r="C46" s="424"/>
      <c r="D46" s="424"/>
      <c r="E46" s="424"/>
      <c r="F46" s="424"/>
      <c r="G46" s="424"/>
      <c r="H46" s="424"/>
    </row>
    <row r="47" ht="21">
      <c r="B47" s="23" t="s">
        <v>573</v>
      </c>
    </row>
    <row r="48" ht="21">
      <c r="B48" s="23" t="s">
        <v>646</v>
      </c>
    </row>
    <row r="49" spans="2:8" s="319" customFormat="1" ht="21">
      <c r="B49" s="290" t="s">
        <v>197</v>
      </c>
      <c r="C49" s="290" t="s">
        <v>198</v>
      </c>
      <c r="D49" s="290" t="s">
        <v>199</v>
      </c>
      <c r="E49" s="290" t="s">
        <v>200</v>
      </c>
      <c r="F49" s="290" t="s">
        <v>201</v>
      </c>
      <c r="G49" s="290" t="s">
        <v>202</v>
      </c>
      <c r="H49" s="290" t="s">
        <v>61</v>
      </c>
    </row>
    <row r="50" spans="2:8" ht="21">
      <c r="B50" s="130" t="s">
        <v>411</v>
      </c>
      <c r="C50" s="130" t="s">
        <v>412</v>
      </c>
      <c r="D50" s="130" t="s">
        <v>413</v>
      </c>
      <c r="E50" s="131" t="s">
        <v>163</v>
      </c>
      <c r="F50" s="130" t="s">
        <v>414</v>
      </c>
      <c r="G50" s="179" t="s">
        <v>431</v>
      </c>
      <c r="H50" s="31">
        <v>120000</v>
      </c>
    </row>
    <row r="51" spans="2:8" ht="21">
      <c r="B51" s="130" t="s">
        <v>411</v>
      </c>
      <c r="C51" s="130" t="s">
        <v>412</v>
      </c>
      <c r="D51" s="130" t="s">
        <v>413</v>
      </c>
      <c r="E51" s="131" t="s">
        <v>163</v>
      </c>
      <c r="F51" s="130" t="s">
        <v>414</v>
      </c>
      <c r="G51" s="131" t="s">
        <v>449</v>
      </c>
      <c r="H51" s="31">
        <v>120000</v>
      </c>
    </row>
    <row r="52" spans="2:8" ht="21">
      <c r="B52" s="130" t="s">
        <v>411</v>
      </c>
      <c r="C52" s="130" t="s">
        <v>412</v>
      </c>
      <c r="D52" s="130" t="s">
        <v>413</v>
      </c>
      <c r="E52" s="131" t="s">
        <v>163</v>
      </c>
      <c r="F52" s="130" t="s">
        <v>414</v>
      </c>
      <c r="G52" s="131" t="s">
        <v>432</v>
      </c>
      <c r="H52" s="31">
        <v>120000</v>
      </c>
    </row>
    <row r="53" spans="2:8" ht="21">
      <c r="B53" s="130" t="s">
        <v>411</v>
      </c>
      <c r="C53" s="130" t="s">
        <v>412</v>
      </c>
      <c r="D53" s="130" t="s">
        <v>413</v>
      </c>
      <c r="E53" s="131" t="s">
        <v>163</v>
      </c>
      <c r="F53" s="130" t="s">
        <v>414</v>
      </c>
      <c r="G53" s="131" t="s">
        <v>433</v>
      </c>
      <c r="H53" s="31">
        <v>120000</v>
      </c>
    </row>
    <row r="54" spans="2:8" ht="21">
      <c r="B54" s="130" t="s">
        <v>411</v>
      </c>
      <c r="C54" s="130" t="s">
        <v>412</v>
      </c>
      <c r="D54" s="130" t="s">
        <v>413</v>
      </c>
      <c r="E54" s="131" t="s">
        <v>163</v>
      </c>
      <c r="F54" s="130" t="s">
        <v>414</v>
      </c>
      <c r="G54" s="131" t="s">
        <v>434</v>
      </c>
      <c r="H54" s="31">
        <v>120000</v>
      </c>
    </row>
    <row r="55" spans="2:8" ht="21">
      <c r="B55" s="130" t="s">
        <v>411</v>
      </c>
      <c r="C55" s="130" t="s">
        <v>412</v>
      </c>
      <c r="D55" s="130" t="s">
        <v>413</v>
      </c>
      <c r="E55" s="131" t="s">
        <v>163</v>
      </c>
      <c r="F55" s="130" t="s">
        <v>414</v>
      </c>
      <c r="G55" s="131" t="s">
        <v>435</v>
      </c>
      <c r="H55" s="31">
        <v>120000</v>
      </c>
    </row>
    <row r="56" spans="2:8" ht="21">
      <c r="B56" s="130" t="s">
        <v>411</v>
      </c>
      <c r="C56" s="130" t="s">
        <v>412</v>
      </c>
      <c r="D56" s="130" t="s">
        <v>413</v>
      </c>
      <c r="E56" s="131" t="s">
        <v>163</v>
      </c>
      <c r="F56" s="130" t="s">
        <v>414</v>
      </c>
      <c r="G56" s="131" t="s">
        <v>450</v>
      </c>
      <c r="H56" s="31">
        <v>120000</v>
      </c>
    </row>
    <row r="57" spans="2:8" ht="21">
      <c r="B57" s="130" t="s">
        <v>411</v>
      </c>
      <c r="C57" s="130" t="s">
        <v>412</v>
      </c>
      <c r="D57" s="130" t="s">
        <v>413</v>
      </c>
      <c r="E57" s="131" t="s">
        <v>163</v>
      </c>
      <c r="F57" s="130" t="s">
        <v>414</v>
      </c>
      <c r="G57" s="131" t="s">
        <v>451</v>
      </c>
      <c r="H57" s="31">
        <v>120000</v>
      </c>
    </row>
    <row r="58" spans="2:8" ht="21">
      <c r="B58" s="130" t="s">
        <v>411</v>
      </c>
      <c r="C58" s="130" t="s">
        <v>412</v>
      </c>
      <c r="D58" s="130" t="s">
        <v>413</v>
      </c>
      <c r="E58" s="131" t="s">
        <v>163</v>
      </c>
      <c r="F58" s="130" t="s">
        <v>414</v>
      </c>
      <c r="G58" s="49" t="s">
        <v>436</v>
      </c>
      <c r="H58" s="31">
        <v>23300</v>
      </c>
    </row>
    <row r="59" spans="2:8" ht="21">
      <c r="B59" s="130" t="s">
        <v>411</v>
      </c>
      <c r="C59" s="130" t="s">
        <v>412</v>
      </c>
      <c r="D59" s="130" t="s">
        <v>413</v>
      </c>
      <c r="E59" s="131" t="s">
        <v>163</v>
      </c>
      <c r="F59" s="130" t="s">
        <v>414</v>
      </c>
      <c r="G59" s="28" t="s">
        <v>437</v>
      </c>
      <c r="H59" s="31">
        <v>146900</v>
      </c>
    </row>
    <row r="60" spans="2:8" ht="21">
      <c r="B60" s="130" t="s">
        <v>411</v>
      </c>
      <c r="C60" s="130" t="s">
        <v>412</v>
      </c>
      <c r="D60" s="130" t="s">
        <v>413</v>
      </c>
      <c r="E60" s="131" t="s">
        <v>163</v>
      </c>
      <c r="F60" s="130" t="s">
        <v>414</v>
      </c>
      <c r="G60" s="178" t="s">
        <v>439</v>
      </c>
      <c r="H60" s="31">
        <v>40000</v>
      </c>
    </row>
    <row r="61" spans="2:8" ht="21">
      <c r="B61" s="130" t="s">
        <v>411</v>
      </c>
      <c r="C61" s="130" t="s">
        <v>412</v>
      </c>
      <c r="D61" s="130" t="s">
        <v>413</v>
      </c>
      <c r="E61" s="131" t="s">
        <v>163</v>
      </c>
      <c r="F61" s="130" t="s">
        <v>414</v>
      </c>
      <c r="G61" s="28" t="s">
        <v>438</v>
      </c>
      <c r="H61" s="31">
        <v>20000</v>
      </c>
    </row>
    <row r="62" spans="2:8" ht="21">
      <c r="B62" s="130" t="s">
        <v>411</v>
      </c>
      <c r="C62" s="130" t="s">
        <v>412</v>
      </c>
      <c r="D62" s="130" t="s">
        <v>413</v>
      </c>
      <c r="E62" s="131" t="s">
        <v>163</v>
      </c>
      <c r="F62" s="130" t="s">
        <v>414</v>
      </c>
      <c r="G62" s="130" t="s">
        <v>443</v>
      </c>
      <c r="H62" s="31">
        <v>50000</v>
      </c>
    </row>
    <row r="63" spans="2:8" ht="21" thickBot="1">
      <c r="B63" s="416" t="s">
        <v>196</v>
      </c>
      <c r="C63" s="418"/>
      <c r="D63" s="418"/>
      <c r="E63" s="418"/>
      <c r="F63" s="418"/>
      <c r="G63" s="417"/>
      <c r="H63" s="34"/>
    </row>
    <row r="64" spans="2:8" ht="21" thickTop="1">
      <c r="B64" s="424" t="s">
        <v>376</v>
      </c>
      <c r="C64" s="424"/>
      <c r="D64" s="424"/>
      <c r="E64" s="424"/>
      <c r="F64" s="424"/>
      <c r="G64" s="424"/>
      <c r="H64" s="424"/>
    </row>
    <row r="65" spans="2:8" ht="21">
      <c r="B65" s="424" t="s">
        <v>194</v>
      </c>
      <c r="C65" s="424"/>
      <c r="D65" s="424"/>
      <c r="E65" s="424"/>
      <c r="F65" s="424"/>
      <c r="G65" s="424"/>
      <c r="H65" s="424"/>
    </row>
    <row r="66" spans="2:8" ht="21">
      <c r="B66" s="424" t="str">
        <f>B24</f>
        <v>สำหรับปี  สิ้นสุดวันที่  30  กันยายน  2561</v>
      </c>
      <c r="C66" s="424"/>
      <c r="D66" s="424"/>
      <c r="E66" s="424"/>
      <c r="F66" s="424"/>
      <c r="G66" s="424"/>
      <c r="H66" s="424"/>
    </row>
    <row r="67" ht="21">
      <c r="B67" s="23" t="s">
        <v>573</v>
      </c>
    </row>
    <row r="68" ht="21">
      <c r="B68" s="23" t="s">
        <v>646</v>
      </c>
    </row>
    <row r="69" spans="2:8" s="319" customFormat="1" ht="21">
      <c r="B69" s="290" t="s">
        <v>197</v>
      </c>
      <c r="C69" s="290" t="s">
        <v>198</v>
      </c>
      <c r="D69" s="290" t="s">
        <v>199</v>
      </c>
      <c r="E69" s="290" t="s">
        <v>200</v>
      </c>
      <c r="F69" s="290" t="s">
        <v>201</v>
      </c>
      <c r="G69" s="290" t="s">
        <v>202</v>
      </c>
      <c r="H69" s="290" t="s">
        <v>61</v>
      </c>
    </row>
    <row r="70" spans="2:8" ht="21">
      <c r="B70" s="130" t="s">
        <v>411</v>
      </c>
      <c r="C70" s="28" t="s">
        <v>241</v>
      </c>
      <c r="D70" s="336" t="s">
        <v>427</v>
      </c>
      <c r="E70" s="28" t="s">
        <v>150</v>
      </c>
      <c r="F70" s="130" t="s">
        <v>415</v>
      </c>
      <c r="G70" s="28" t="s">
        <v>440</v>
      </c>
      <c r="H70" s="180">
        <v>18000</v>
      </c>
    </row>
    <row r="71" spans="2:8" ht="21">
      <c r="B71" s="130"/>
      <c r="C71" s="28"/>
      <c r="D71" s="28"/>
      <c r="E71" s="28"/>
      <c r="F71" s="178"/>
      <c r="G71" s="28" t="s">
        <v>441</v>
      </c>
      <c r="H71" s="31"/>
    </row>
    <row r="72" spans="2:8" ht="21">
      <c r="B72" s="130" t="s">
        <v>411</v>
      </c>
      <c r="C72" s="28" t="s">
        <v>426</v>
      </c>
      <c r="D72" s="28" t="s">
        <v>426</v>
      </c>
      <c r="E72" s="28" t="s">
        <v>149</v>
      </c>
      <c r="F72" s="178" t="s">
        <v>442</v>
      </c>
      <c r="G72" s="28"/>
      <c r="H72" s="31">
        <v>307000</v>
      </c>
    </row>
    <row r="73" spans="2:8" ht="21">
      <c r="B73" s="130" t="s">
        <v>411</v>
      </c>
      <c r="C73" s="130" t="s">
        <v>412</v>
      </c>
      <c r="D73" s="131" t="s">
        <v>413</v>
      </c>
      <c r="E73" s="131" t="s">
        <v>163</v>
      </c>
      <c r="F73" s="130" t="s">
        <v>414</v>
      </c>
      <c r="G73" s="130" t="s">
        <v>444</v>
      </c>
      <c r="H73" s="31">
        <v>310000</v>
      </c>
    </row>
    <row r="74" spans="2:8" ht="21">
      <c r="B74" s="130"/>
      <c r="C74" s="28"/>
      <c r="D74" s="131"/>
      <c r="E74" s="28"/>
      <c r="F74" s="130"/>
      <c r="G74" s="130"/>
      <c r="H74" s="31"/>
    </row>
    <row r="75" spans="2:8" ht="21">
      <c r="B75" s="130"/>
      <c r="C75" s="28"/>
      <c r="D75" s="28"/>
      <c r="E75" s="28"/>
      <c r="F75" s="130"/>
      <c r="G75" s="130"/>
      <c r="H75" s="31"/>
    </row>
    <row r="76" spans="2:8" ht="21">
      <c r="B76" s="28"/>
      <c r="C76" s="28"/>
      <c r="D76" s="130"/>
      <c r="E76" s="28"/>
      <c r="F76" s="131"/>
      <c r="G76" s="28"/>
      <c r="H76" s="31"/>
    </row>
    <row r="77" spans="2:8" ht="21">
      <c r="B77" s="28"/>
      <c r="C77" s="28"/>
      <c r="D77" s="130"/>
      <c r="E77" s="28"/>
      <c r="F77" s="131"/>
      <c r="G77" s="131"/>
      <c r="H77" s="31"/>
    </row>
    <row r="78" spans="2:8" ht="21" thickBot="1">
      <c r="B78" s="416" t="s">
        <v>196</v>
      </c>
      <c r="C78" s="418"/>
      <c r="D78" s="418"/>
      <c r="E78" s="418"/>
      <c r="F78" s="418"/>
      <c r="G78" s="417"/>
      <c r="H78" s="34">
        <v>3094734</v>
      </c>
    </row>
    <row r="79" ht="21" thickTop="1"/>
    <row r="84" spans="2:8" ht="21">
      <c r="B84" s="424" t="s">
        <v>376</v>
      </c>
      <c r="C84" s="424"/>
      <c r="D84" s="424"/>
      <c r="E84" s="424"/>
      <c r="F84" s="424"/>
      <c r="G84" s="424"/>
      <c r="H84" s="424"/>
    </row>
    <row r="85" spans="2:8" ht="21">
      <c r="B85" s="424" t="s">
        <v>194</v>
      </c>
      <c r="C85" s="424"/>
      <c r="D85" s="424"/>
      <c r="E85" s="424"/>
      <c r="F85" s="424"/>
      <c r="G85" s="424"/>
      <c r="H85" s="424"/>
    </row>
    <row r="86" spans="2:8" ht="21">
      <c r="B86" s="424" t="s">
        <v>644</v>
      </c>
      <c r="C86" s="424"/>
      <c r="D86" s="424"/>
      <c r="E86" s="424"/>
      <c r="F86" s="424"/>
      <c r="G86" s="424"/>
      <c r="H86" s="424"/>
    </row>
    <row r="87" ht="21">
      <c r="B87" s="23" t="s">
        <v>573</v>
      </c>
    </row>
    <row r="88" ht="21">
      <c r="B88" s="23" t="s">
        <v>558</v>
      </c>
    </row>
    <row r="89" spans="2:8" s="319" customFormat="1" ht="21">
      <c r="B89" s="290" t="s">
        <v>197</v>
      </c>
      <c r="C89" s="290" t="s">
        <v>198</v>
      </c>
      <c r="D89" s="290" t="s">
        <v>199</v>
      </c>
      <c r="E89" s="290" t="s">
        <v>200</v>
      </c>
      <c r="F89" s="290" t="s">
        <v>201</v>
      </c>
      <c r="G89" s="290" t="s">
        <v>202</v>
      </c>
      <c r="H89" s="290" t="s">
        <v>61</v>
      </c>
    </row>
    <row r="90" spans="2:8" ht="21">
      <c r="B90" s="130" t="s">
        <v>411</v>
      </c>
      <c r="C90" s="130" t="s">
        <v>412</v>
      </c>
      <c r="D90" s="130" t="s">
        <v>413</v>
      </c>
      <c r="E90" s="131" t="s">
        <v>163</v>
      </c>
      <c r="F90" s="130" t="s">
        <v>414</v>
      </c>
      <c r="G90" s="179" t="s">
        <v>431</v>
      </c>
      <c r="H90" s="31">
        <v>120000</v>
      </c>
    </row>
    <row r="91" spans="2:8" ht="21">
      <c r="B91" s="130" t="s">
        <v>411</v>
      </c>
      <c r="C91" s="130" t="s">
        <v>412</v>
      </c>
      <c r="D91" s="130" t="s">
        <v>413</v>
      </c>
      <c r="E91" s="131" t="s">
        <v>163</v>
      </c>
      <c r="F91" s="130" t="s">
        <v>414</v>
      </c>
      <c r="G91" s="131" t="s">
        <v>449</v>
      </c>
      <c r="H91" s="31">
        <v>120000</v>
      </c>
    </row>
    <row r="92" spans="2:8" ht="21">
      <c r="B92" s="130" t="s">
        <v>411</v>
      </c>
      <c r="C92" s="130" t="s">
        <v>412</v>
      </c>
      <c r="D92" s="130" t="s">
        <v>413</v>
      </c>
      <c r="E92" s="131" t="s">
        <v>163</v>
      </c>
      <c r="F92" s="130" t="s">
        <v>414</v>
      </c>
      <c r="G92" s="131" t="s">
        <v>432</v>
      </c>
      <c r="H92" s="31">
        <v>120000</v>
      </c>
    </row>
    <row r="93" spans="2:8" ht="21">
      <c r="B93" s="130" t="s">
        <v>411</v>
      </c>
      <c r="C93" s="130" t="s">
        <v>412</v>
      </c>
      <c r="D93" s="130" t="s">
        <v>413</v>
      </c>
      <c r="E93" s="131" t="s">
        <v>163</v>
      </c>
      <c r="F93" s="130" t="s">
        <v>414</v>
      </c>
      <c r="G93" s="131" t="s">
        <v>433</v>
      </c>
      <c r="H93" s="31">
        <v>120000</v>
      </c>
    </row>
    <row r="94" spans="2:8" ht="21">
      <c r="B94" s="130" t="s">
        <v>411</v>
      </c>
      <c r="C94" s="130" t="s">
        <v>412</v>
      </c>
      <c r="D94" s="130" t="s">
        <v>413</v>
      </c>
      <c r="E94" s="131" t="s">
        <v>163</v>
      </c>
      <c r="F94" s="130" t="s">
        <v>414</v>
      </c>
      <c r="G94" s="131" t="s">
        <v>434</v>
      </c>
      <c r="H94" s="31">
        <v>120000</v>
      </c>
    </row>
    <row r="95" spans="2:8" ht="21">
      <c r="B95" s="130" t="s">
        <v>411</v>
      </c>
      <c r="C95" s="130" t="s">
        <v>412</v>
      </c>
      <c r="D95" s="130" t="s">
        <v>413</v>
      </c>
      <c r="E95" s="131" t="s">
        <v>163</v>
      </c>
      <c r="F95" s="130" t="s">
        <v>414</v>
      </c>
      <c r="G95" s="131" t="s">
        <v>435</v>
      </c>
      <c r="H95" s="31">
        <v>120000</v>
      </c>
    </row>
    <row r="96" spans="2:8" ht="21">
      <c r="B96" s="130" t="s">
        <v>411</v>
      </c>
      <c r="C96" s="130" t="s">
        <v>412</v>
      </c>
      <c r="D96" s="130" t="s">
        <v>413</v>
      </c>
      <c r="E96" s="131" t="s">
        <v>163</v>
      </c>
      <c r="F96" s="130" t="s">
        <v>414</v>
      </c>
      <c r="G96" s="131" t="s">
        <v>450</v>
      </c>
      <c r="H96" s="31">
        <v>120000</v>
      </c>
    </row>
    <row r="97" spans="2:8" ht="21">
      <c r="B97" s="130" t="s">
        <v>411</v>
      </c>
      <c r="C97" s="130" t="s">
        <v>412</v>
      </c>
      <c r="D97" s="130" t="s">
        <v>413</v>
      </c>
      <c r="E97" s="131" t="s">
        <v>163</v>
      </c>
      <c r="F97" s="130" t="s">
        <v>414</v>
      </c>
      <c r="G97" s="131" t="s">
        <v>451</v>
      </c>
      <c r="H97" s="31">
        <v>120000</v>
      </c>
    </row>
    <row r="98" spans="2:8" ht="21">
      <c r="B98" s="130" t="s">
        <v>411</v>
      </c>
      <c r="C98" s="130" t="s">
        <v>412</v>
      </c>
      <c r="D98" s="130" t="s">
        <v>413</v>
      </c>
      <c r="E98" s="131" t="s">
        <v>163</v>
      </c>
      <c r="F98" s="130" t="s">
        <v>414</v>
      </c>
      <c r="G98" s="49" t="s">
        <v>436</v>
      </c>
      <c r="H98" s="31">
        <v>23300</v>
      </c>
    </row>
    <row r="99" spans="2:8" ht="21">
      <c r="B99" s="130" t="s">
        <v>411</v>
      </c>
      <c r="C99" s="130" t="s">
        <v>412</v>
      </c>
      <c r="D99" s="130" t="s">
        <v>413</v>
      </c>
      <c r="E99" s="131" t="s">
        <v>163</v>
      </c>
      <c r="F99" s="130" t="s">
        <v>414</v>
      </c>
      <c r="G99" s="28" t="s">
        <v>437</v>
      </c>
      <c r="H99" s="31">
        <v>146900</v>
      </c>
    </row>
    <row r="100" spans="2:8" ht="21">
      <c r="B100" s="130" t="s">
        <v>411</v>
      </c>
      <c r="C100" s="130" t="s">
        <v>412</v>
      </c>
      <c r="D100" s="130" t="s">
        <v>413</v>
      </c>
      <c r="E100" s="131" t="s">
        <v>163</v>
      </c>
      <c r="F100" s="130" t="s">
        <v>414</v>
      </c>
      <c r="G100" s="178" t="s">
        <v>439</v>
      </c>
      <c r="H100" s="31">
        <v>25000</v>
      </c>
    </row>
    <row r="101" spans="2:8" ht="21">
      <c r="B101" s="130" t="s">
        <v>411</v>
      </c>
      <c r="C101" s="130" t="s">
        <v>412</v>
      </c>
      <c r="D101" s="130" t="s">
        <v>413</v>
      </c>
      <c r="E101" s="131" t="s">
        <v>163</v>
      </c>
      <c r="F101" s="130" t="s">
        <v>414</v>
      </c>
      <c r="G101" s="28" t="s">
        <v>438</v>
      </c>
      <c r="H101" s="31">
        <v>20000</v>
      </c>
    </row>
    <row r="102" spans="2:8" ht="21">
      <c r="B102" s="130" t="s">
        <v>411</v>
      </c>
      <c r="C102" s="130" t="s">
        <v>412</v>
      </c>
      <c r="D102" s="130" t="s">
        <v>413</v>
      </c>
      <c r="E102" s="131" t="s">
        <v>163</v>
      </c>
      <c r="F102" s="130" t="s">
        <v>414</v>
      </c>
      <c r="G102" s="130" t="s">
        <v>443</v>
      </c>
      <c r="H102" s="31">
        <v>50000</v>
      </c>
    </row>
    <row r="103" spans="2:8" ht="21" thickBot="1">
      <c r="B103" s="416" t="s">
        <v>196</v>
      </c>
      <c r="C103" s="418"/>
      <c r="D103" s="418"/>
      <c r="E103" s="418"/>
      <c r="F103" s="418"/>
      <c r="G103" s="417"/>
      <c r="H103" s="34"/>
    </row>
    <row r="104" spans="2:8" ht="21" thickTop="1">
      <c r="B104" s="412" t="s">
        <v>376</v>
      </c>
      <c r="C104" s="412"/>
      <c r="D104" s="412"/>
      <c r="E104" s="412"/>
      <c r="F104" s="412"/>
      <c r="G104" s="412"/>
      <c r="H104" s="412"/>
    </row>
    <row r="105" spans="2:8" ht="21">
      <c r="B105" s="412" t="s">
        <v>194</v>
      </c>
      <c r="C105" s="412"/>
      <c r="D105" s="412"/>
      <c r="E105" s="412"/>
      <c r="F105" s="412"/>
      <c r="G105" s="412"/>
      <c r="H105" s="412"/>
    </row>
    <row r="106" spans="2:8" s="320" customFormat="1" ht="24.75" customHeight="1">
      <c r="B106" s="426" t="s">
        <v>644</v>
      </c>
      <c r="C106" s="426"/>
      <c r="D106" s="426"/>
      <c r="E106" s="426"/>
      <c r="F106" s="426"/>
      <c r="G106" s="426"/>
      <c r="H106" s="426"/>
    </row>
    <row r="107" ht="22.5" customHeight="1">
      <c r="B107" s="23" t="s">
        <v>574</v>
      </c>
    </row>
    <row r="108" ht="22.5" customHeight="1">
      <c r="B108" s="23" t="s">
        <v>646</v>
      </c>
    </row>
    <row r="109" spans="2:8" ht="21">
      <c r="B109" s="252" t="s">
        <v>197</v>
      </c>
      <c r="C109" s="252" t="s">
        <v>198</v>
      </c>
      <c r="D109" s="252" t="s">
        <v>199</v>
      </c>
      <c r="E109" s="252" t="s">
        <v>200</v>
      </c>
      <c r="F109" s="252" t="s">
        <v>201</v>
      </c>
      <c r="G109" s="252" t="s">
        <v>202</v>
      </c>
      <c r="H109" s="252" t="s">
        <v>61</v>
      </c>
    </row>
    <row r="110" spans="2:8" ht="21">
      <c r="B110" s="130" t="s">
        <v>411</v>
      </c>
      <c r="C110" s="28" t="s">
        <v>426</v>
      </c>
      <c r="D110" s="28" t="s">
        <v>426</v>
      </c>
      <c r="E110" s="28" t="s">
        <v>221</v>
      </c>
      <c r="F110" s="28" t="s">
        <v>32</v>
      </c>
      <c r="G110" s="28" t="s">
        <v>472</v>
      </c>
      <c r="H110" s="31">
        <v>12000</v>
      </c>
    </row>
    <row r="111" spans="2:8" ht="21">
      <c r="B111" s="130" t="s">
        <v>411</v>
      </c>
      <c r="C111" s="130" t="s">
        <v>473</v>
      </c>
      <c r="D111" s="395" t="s">
        <v>474</v>
      </c>
      <c r="E111" s="28" t="s">
        <v>221</v>
      </c>
      <c r="F111" s="28" t="s">
        <v>37</v>
      </c>
      <c r="G111" s="28" t="s">
        <v>475</v>
      </c>
      <c r="H111" s="31">
        <f>30000-30000</f>
        <v>0</v>
      </c>
    </row>
    <row r="112" spans="2:8" ht="21">
      <c r="B112" s="130" t="s">
        <v>411</v>
      </c>
      <c r="C112" s="130" t="s">
        <v>473</v>
      </c>
      <c r="D112" s="395" t="s">
        <v>474</v>
      </c>
      <c r="E112" s="28" t="s">
        <v>221</v>
      </c>
      <c r="F112" s="28" t="s">
        <v>476</v>
      </c>
      <c r="G112" s="28" t="s">
        <v>477</v>
      </c>
      <c r="H112" s="31">
        <v>20000</v>
      </c>
    </row>
    <row r="113" spans="2:8" ht="21">
      <c r="B113" s="130" t="s">
        <v>411</v>
      </c>
      <c r="C113" s="28" t="s">
        <v>241</v>
      </c>
      <c r="D113" s="336" t="s">
        <v>427</v>
      </c>
      <c r="E113" s="28" t="s">
        <v>221</v>
      </c>
      <c r="F113" s="28" t="s">
        <v>32</v>
      </c>
      <c r="G113" s="28" t="s">
        <v>478</v>
      </c>
      <c r="H113" s="31">
        <f>410000-132000</f>
        <v>278000</v>
      </c>
    </row>
    <row r="114" spans="2:8" ht="21">
      <c r="B114" s="130" t="s">
        <v>411</v>
      </c>
      <c r="C114" s="28" t="s">
        <v>479</v>
      </c>
      <c r="D114" s="336" t="s">
        <v>480</v>
      </c>
      <c r="E114" s="28" t="s">
        <v>221</v>
      </c>
      <c r="F114" s="131" t="s">
        <v>481</v>
      </c>
      <c r="G114" s="28" t="s">
        <v>482</v>
      </c>
      <c r="H114" s="31">
        <f>20000-20000</f>
        <v>0</v>
      </c>
    </row>
    <row r="115" spans="2:8" ht="21">
      <c r="B115" s="130" t="s">
        <v>411</v>
      </c>
      <c r="C115" s="28" t="s">
        <v>483</v>
      </c>
      <c r="D115" s="395" t="s">
        <v>484</v>
      </c>
      <c r="E115" s="28" t="s">
        <v>221</v>
      </c>
      <c r="F115" s="28" t="s">
        <v>485</v>
      </c>
      <c r="G115" s="28" t="s">
        <v>486</v>
      </c>
      <c r="H115" s="31">
        <v>5000</v>
      </c>
    </row>
    <row r="116" spans="2:8" ht="21">
      <c r="B116" s="130" t="s">
        <v>411</v>
      </c>
      <c r="C116" s="28" t="s">
        <v>483</v>
      </c>
      <c r="D116" s="395" t="s">
        <v>484</v>
      </c>
      <c r="E116" s="28" t="s">
        <v>221</v>
      </c>
      <c r="F116" s="130" t="s">
        <v>487</v>
      </c>
      <c r="G116" s="28" t="s">
        <v>488</v>
      </c>
      <c r="H116" s="31">
        <v>5000</v>
      </c>
    </row>
    <row r="117" spans="2:8" ht="21">
      <c r="B117" s="130" t="s">
        <v>411</v>
      </c>
      <c r="C117" s="28" t="s">
        <v>483</v>
      </c>
      <c r="D117" s="395" t="s">
        <v>484</v>
      </c>
      <c r="E117" s="131" t="s">
        <v>428</v>
      </c>
      <c r="F117" s="130" t="s">
        <v>429</v>
      </c>
      <c r="G117" s="28" t="s">
        <v>489</v>
      </c>
      <c r="H117" s="31">
        <v>40000</v>
      </c>
    </row>
    <row r="118" spans="2:8" ht="21">
      <c r="B118" s="130" t="s">
        <v>411</v>
      </c>
      <c r="C118" s="336" t="s">
        <v>490</v>
      </c>
      <c r="D118" s="130" t="s">
        <v>491</v>
      </c>
      <c r="E118" s="28" t="s">
        <v>221</v>
      </c>
      <c r="F118" s="130" t="s">
        <v>43</v>
      </c>
      <c r="G118" s="131" t="s">
        <v>492</v>
      </c>
      <c r="H118" s="31">
        <v>100000</v>
      </c>
    </row>
    <row r="119" spans="2:8" ht="21">
      <c r="B119" s="130" t="s">
        <v>411</v>
      </c>
      <c r="C119" s="336" t="s">
        <v>490</v>
      </c>
      <c r="D119" s="395" t="s">
        <v>493</v>
      </c>
      <c r="E119" s="131" t="s">
        <v>428</v>
      </c>
      <c r="F119" s="130" t="s">
        <v>429</v>
      </c>
      <c r="G119" s="28" t="s">
        <v>494</v>
      </c>
      <c r="H119" s="31">
        <v>20000</v>
      </c>
    </row>
    <row r="120" spans="2:8" ht="19.5" customHeight="1">
      <c r="B120" s="253" t="s">
        <v>411</v>
      </c>
      <c r="C120" s="41" t="s">
        <v>241</v>
      </c>
      <c r="D120" s="337" t="s">
        <v>427</v>
      </c>
      <c r="E120" s="41" t="s">
        <v>146</v>
      </c>
      <c r="F120" s="253" t="s">
        <v>380</v>
      </c>
      <c r="G120" s="41" t="s">
        <v>495</v>
      </c>
      <c r="H120" s="31">
        <v>197534</v>
      </c>
    </row>
    <row r="121" spans="2:8" ht="14.25" customHeight="1">
      <c r="B121" s="253" t="s">
        <v>411</v>
      </c>
      <c r="C121" s="41"/>
      <c r="D121" s="41"/>
      <c r="E121" s="41"/>
      <c r="F121" s="253"/>
      <c r="G121" s="41" t="s">
        <v>496</v>
      </c>
      <c r="H121" s="31"/>
    </row>
    <row r="122" spans="2:8" ht="21">
      <c r="B122" s="130" t="s">
        <v>411</v>
      </c>
      <c r="C122" s="130" t="s">
        <v>430</v>
      </c>
      <c r="D122" s="130" t="s">
        <v>413</v>
      </c>
      <c r="E122" s="131" t="s">
        <v>428</v>
      </c>
      <c r="F122" s="130" t="s">
        <v>429</v>
      </c>
      <c r="G122" s="131" t="s">
        <v>497</v>
      </c>
      <c r="H122" s="31">
        <v>120000</v>
      </c>
    </row>
    <row r="123" spans="2:8" ht="21" thickBot="1">
      <c r="B123" s="416" t="s">
        <v>196</v>
      </c>
      <c r="C123" s="418"/>
      <c r="D123" s="418"/>
      <c r="E123" s="418"/>
      <c r="F123" s="418"/>
      <c r="G123" s="417"/>
      <c r="H123" s="34"/>
    </row>
    <row r="124" spans="2:8" ht="21" thickTop="1">
      <c r="B124" s="424" t="s">
        <v>376</v>
      </c>
      <c r="C124" s="424"/>
      <c r="D124" s="424"/>
      <c r="E124" s="424"/>
      <c r="F124" s="424"/>
      <c r="G124" s="424"/>
      <c r="H124" s="424"/>
    </row>
    <row r="125" spans="2:8" ht="21">
      <c r="B125" s="424" t="s">
        <v>194</v>
      </c>
      <c r="C125" s="424"/>
      <c r="D125" s="424"/>
      <c r="E125" s="424"/>
      <c r="F125" s="424"/>
      <c r="G125" s="424"/>
      <c r="H125" s="424"/>
    </row>
    <row r="126" spans="2:8" ht="21">
      <c r="B126" s="425" t="s">
        <v>644</v>
      </c>
      <c r="C126" s="425"/>
      <c r="D126" s="425"/>
      <c r="E126" s="425"/>
      <c r="F126" s="425"/>
      <c r="G126" s="425"/>
      <c r="H126" s="425"/>
    </row>
    <row r="127" ht="21">
      <c r="B127" s="23" t="s">
        <v>574</v>
      </c>
    </row>
    <row r="128" ht="21">
      <c r="B128" s="23" t="s">
        <v>646</v>
      </c>
    </row>
    <row r="129" spans="2:8" s="319" customFormat="1" ht="21">
      <c r="B129" s="290" t="s">
        <v>197</v>
      </c>
      <c r="C129" s="290" t="s">
        <v>198</v>
      </c>
      <c r="D129" s="290" t="s">
        <v>199</v>
      </c>
      <c r="E129" s="290" t="s">
        <v>200</v>
      </c>
      <c r="F129" s="290" t="s">
        <v>201</v>
      </c>
      <c r="G129" s="290" t="s">
        <v>202</v>
      </c>
      <c r="H129" s="290" t="s">
        <v>61</v>
      </c>
    </row>
    <row r="130" spans="2:8" ht="21">
      <c r="B130" s="130" t="s">
        <v>411</v>
      </c>
      <c r="C130" s="130" t="s">
        <v>430</v>
      </c>
      <c r="D130" s="130" t="s">
        <v>413</v>
      </c>
      <c r="E130" s="131" t="s">
        <v>428</v>
      </c>
      <c r="F130" s="130" t="s">
        <v>429</v>
      </c>
      <c r="G130" s="131" t="s">
        <v>498</v>
      </c>
      <c r="H130" s="31">
        <v>120000</v>
      </c>
    </row>
    <row r="131" spans="2:8" ht="21">
      <c r="B131" s="130" t="s">
        <v>411</v>
      </c>
      <c r="C131" s="130" t="s">
        <v>430</v>
      </c>
      <c r="D131" s="130" t="s">
        <v>413</v>
      </c>
      <c r="E131" s="131" t="s">
        <v>428</v>
      </c>
      <c r="F131" s="130" t="s">
        <v>429</v>
      </c>
      <c r="G131" s="131" t="s">
        <v>499</v>
      </c>
      <c r="H131" s="31">
        <v>120000</v>
      </c>
    </row>
    <row r="132" spans="2:8" ht="21">
      <c r="B132" s="130" t="s">
        <v>411</v>
      </c>
      <c r="C132" s="28" t="s">
        <v>241</v>
      </c>
      <c r="D132" s="336" t="s">
        <v>427</v>
      </c>
      <c r="E132" s="28" t="s">
        <v>150</v>
      </c>
      <c r="F132" s="130" t="s">
        <v>415</v>
      </c>
      <c r="G132" s="28" t="s">
        <v>440</v>
      </c>
      <c r="H132" s="180">
        <f>18000-8000</f>
        <v>10000</v>
      </c>
    </row>
    <row r="133" spans="2:8" ht="21">
      <c r="B133" s="130"/>
      <c r="C133" s="28"/>
      <c r="D133" s="28"/>
      <c r="E133" s="28"/>
      <c r="F133" s="178"/>
      <c r="G133" s="28" t="s">
        <v>441</v>
      </c>
      <c r="H133" s="31"/>
    </row>
    <row r="134" spans="2:8" ht="21">
      <c r="B134" s="130" t="s">
        <v>411</v>
      </c>
      <c r="C134" s="28" t="s">
        <v>426</v>
      </c>
      <c r="D134" s="28" t="s">
        <v>426</v>
      </c>
      <c r="E134" s="28" t="s">
        <v>149</v>
      </c>
      <c r="F134" s="178" t="s">
        <v>442</v>
      </c>
      <c r="G134" s="28"/>
      <c r="H134" s="31">
        <v>307000</v>
      </c>
    </row>
    <row r="135" spans="2:8" ht="21">
      <c r="B135" s="130" t="s">
        <v>411</v>
      </c>
      <c r="C135" s="130" t="s">
        <v>412</v>
      </c>
      <c r="D135" s="130" t="s">
        <v>413</v>
      </c>
      <c r="E135" s="131" t="s">
        <v>163</v>
      </c>
      <c r="F135" s="130" t="s">
        <v>414</v>
      </c>
      <c r="G135" s="130" t="s">
        <v>444</v>
      </c>
      <c r="H135" s="31">
        <v>310000</v>
      </c>
    </row>
    <row r="136" spans="2:8" ht="21">
      <c r="B136" s="130" t="s">
        <v>411</v>
      </c>
      <c r="C136" s="130" t="s">
        <v>412</v>
      </c>
      <c r="D136" s="130" t="s">
        <v>413</v>
      </c>
      <c r="E136" s="131" t="s">
        <v>163</v>
      </c>
      <c r="F136" s="130" t="s">
        <v>414</v>
      </c>
      <c r="G136" s="130" t="s">
        <v>583</v>
      </c>
      <c r="H136" s="31">
        <v>15000</v>
      </c>
    </row>
    <row r="137" spans="2:8" ht="21">
      <c r="B137" s="130" t="s">
        <v>411</v>
      </c>
      <c r="C137" s="130" t="s">
        <v>412</v>
      </c>
      <c r="D137" s="130" t="s">
        <v>413</v>
      </c>
      <c r="E137" s="28" t="s">
        <v>56</v>
      </c>
      <c r="F137" s="28" t="s">
        <v>584</v>
      </c>
      <c r="G137" s="28" t="s">
        <v>585</v>
      </c>
      <c r="H137" s="31">
        <f>20000+8000+132000</f>
        <v>160000</v>
      </c>
    </row>
    <row r="138" spans="2:8" ht="21">
      <c r="B138" s="130" t="s">
        <v>411</v>
      </c>
      <c r="C138" s="130" t="s">
        <v>473</v>
      </c>
      <c r="D138" s="336" t="s">
        <v>586</v>
      </c>
      <c r="E138" s="28" t="s">
        <v>151</v>
      </c>
      <c r="F138" s="130" t="s">
        <v>587</v>
      </c>
      <c r="G138" s="130" t="s">
        <v>588</v>
      </c>
      <c r="H138" s="31">
        <v>30000</v>
      </c>
    </row>
    <row r="139" spans="2:8" ht="21">
      <c r="B139" s="28"/>
      <c r="C139" s="28"/>
      <c r="D139" s="28"/>
      <c r="E139" s="28"/>
      <c r="F139" s="130"/>
      <c r="G139" s="130" t="s">
        <v>589</v>
      </c>
      <c r="H139" s="31"/>
    </row>
    <row r="140" spans="2:8" ht="21">
      <c r="B140" s="28"/>
      <c r="C140" s="179"/>
      <c r="D140" s="28"/>
      <c r="E140" s="28"/>
      <c r="F140" s="130"/>
      <c r="G140" s="179"/>
      <c r="H140" s="31"/>
    </row>
    <row r="141" spans="2:8" ht="21">
      <c r="B141" s="28"/>
      <c r="C141" s="28"/>
      <c r="D141" s="28"/>
      <c r="E141" s="49"/>
      <c r="F141" s="130"/>
      <c r="G141" s="131"/>
      <c r="H141" s="31"/>
    </row>
    <row r="142" spans="2:8" ht="21" thickBot="1">
      <c r="B142" s="416" t="s">
        <v>196</v>
      </c>
      <c r="C142" s="418"/>
      <c r="D142" s="418"/>
      <c r="E142" s="418"/>
      <c r="F142" s="418"/>
      <c r="G142" s="417"/>
      <c r="H142" s="34">
        <v>3094734</v>
      </c>
    </row>
    <row r="143" ht="21" thickTop="1">
      <c r="H143" s="181"/>
    </row>
  </sheetData>
  <sheetProtection/>
  <mergeCells count="28">
    <mergeCell ref="B126:H126"/>
    <mergeCell ref="B123:G123"/>
    <mergeCell ref="B84:H84"/>
    <mergeCell ref="B85:H85"/>
    <mergeCell ref="B86:H86"/>
    <mergeCell ref="B103:G103"/>
    <mergeCell ref="B104:H104"/>
    <mergeCell ref="B105:H105"/>
    <mergeCell ref="B106:H106"/>
    <mergeCell ref="B124:H124"/>
    <mergeCell ref="B66:H66"/>
    <mergeCell ref="B78:G78"/>
    <mergeCell ref="B24:H24"/>
    <mergeCell ref="B45:H45"/>
    <mergeCell ref="B46:H46"/>
    <mergeCell ref="B63:G63"/>
    <mergeCell ref="B43:G43"/>
    <mergeCell ref="B44:H44"/>
    <mergeCell ref="B125:H125"/>
    <mergeCell ref="B142:G142"/>
    <mergeCell ref="B1:H1"/>
    <mergeCell ref="B2:H2"/>
    <mergeCell ref="B3:H3"/>
    <mergeCell ref="B19:G19"/>
    <mergeCell ref="B22:H22"/>
    <mergeCell ref="B23:H23"/>
    <mergeCell ref="B64:H64"/>
    <mergeCell ref="B65:H65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อารียา ปิยะมาสิกุล</dc:creator>
  <cp:keywords/>
  <dc:description/>
  <cp:lastModifiedBy>CCS_LP</cp:lastModifiedBy>
  <cp:lastPrinted>2018-12-12T09:48:01Z</cp:lastPrinted>
  <dcterms:created xsi:type="dcterms:W3CDTF">2015-09-06T08:47:00Z</dcterms:created>
  <dcterms:modified xsi:type="dcterms:W3CDTF">2018-12-14T06:56:10Z</dcterms:modified>
  <cp:category/>
  <cp:version/>
  <cp:contentType/>
  <cp:contentStatus/>
</cp:coreProperties>
</file>